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0.xml" ContentType="application/vnd.openxmlformats-officedocument.drawingml.chartshapes+xml"/>
  <Override PartName="/xl/drawings/drawing8.xml" ContentType="application/vnd.openxmlformats-officedocument.drawingml.chartshapes+xml"/>
  <Override PartName="/xl/drawings/drawing12.xml" ContentType="application/vnd.openxmlformats-officedocument.drawingml.chartshapes+xml"/>
  <Override PartName="/xl/drawings/drawing6.xml" ContentType="application/vnd.openxmlformats-officedocument.drawingml.chartshapes+xml"/>
  <Override PartName="/xl/drawings/drawing4.xml" ContentType="application/vnd.openxmlformats-officedocument.drawingml.chartshapes+xml"/>
  <Override PartName="/xl/drawings/drawing2.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5.xml" ContentType="application/vnd.openxmlformats-officedocument.spreadsheetml.chartsheet+xml"/>
  <Override PartName="/xl/worksheets/sheet5.xml" ContentType="application/vnd.openxmlformats-officedocument.spreadsheetml.work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7.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Luwie\Dropbox\International tax enforcement\Data update\Update 2019\"/>
    </mc:Choice>
  </mc:AlternateContent>
  <xr:revisionPtr revIDLastSave="0" documentId="13_ncr:1_{5D84C0E1-7E75-4E62-AE05-9F9B9D5C2535}" xr6:coauthVersionLast="47" xr6:coauthVersionMax="47" xr10:uidLastSave="{00000000-0000-0000-0000-000000000000}"/>
  <bookViews>
    <workbookView xWindow="-110" yWindow="-110" windowWidth="21820" windowHeight="14020" activeTab="1" xr2:uid="{00000000-000D-0000-FFFF-FFFF00000000}"/>
  </bookViews>
  <sheets>
    <sheet name="Content" sheetId="72" r:id="rId1"/>
    <sheet name="Table1" sheetId="75" r:id="rId2"/>
    <sheet name="F1a" sheetId="67" r:id="rId3"/>
    <sheet name="F1b" sheetId="69" r:id="rId4"/>
    <sheet name="F1c" sheetId="65" r:id="rId5"/>
    <sheet name="F2" sheetId="71" r:id="rId6"/>
    <sheet name="DataF1-3" sheetId="66" r:id="rId7"/>
    <sheet name="DataF2" sheetId="70" r:id="rId8"/>
    <sheet name="F3 " sheetId="76" r:id="rId9"/>
    <sheet name="Data F3" sheetId="77" r:id="rId10"/>
    <sheet name="F4" sheetId="78" r:id="rId11"/>
    <sheet name="Data F4" sheetId="79" r:id="rId12"/>
    <sheet name="Table A" sheetId="63" r:id="rId13"/>
    <sheet name="Table B" sheetId="74" r:id="rId14"/>
    <sheet name="Backup tables and figures" sheetId="52" r:id="rId15"/>
    <sheet name="Table U1" sheetId="26" r:id="rId16"/>
    <sheet name="Alternative Table 1" sheetId="61" r:id="rId17"/>
    <sheet name="Appendix F1" sheetId="80" r:id="rId18"/>
    <sheet name="Data FA1" sheetId="81" r:id="rId19"/>
    <sheet name="Select updated tables from TWZ&gt;" sheetId="53" r:id="rId20"/>
    <sheet name="TableB10" sheetId="1" r:id="rId21"/>
    <sheet name="TableB11" sheetId="3" r:id="rId22"/>
    <sheet name="TableC1" sheetId="54" r:id="rId23"/>
    <sheet name="TableC2" sheetId="55" r:id="rId24"/>
    <sheet name="TableC3" sheetId="56" r:id="rId25"/>
    <sheet name="TableC4" sheetId="57" r:id="rId26"/>
    <sheet name="TableC4b" sheetId="58" r:id="rId27"/>
    <sheet name="TableC4c" sheetId="59" r:id="rId28"/>
    <sheet name="TableC4d" sheetId="60" r:id="rId29"/>
    <sheet name="Depreciation" sheetId="73"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1_">#REF!</definedName>
    <definedName name="_xlnm._FilterDatabase" localSheetId="7" hidden="1">DataF2!$H$3:$L$23</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Date_Range">[1]AustralianNA!$A$2:$A$10,[1]AustralianNA!$A$11:$A$244</definedName>
    <definedName name="Date_Range_Data">[1]AustralianNA4!$A$11:$A$128</definedName>
    <definedName name="FN1_Data">[14]AustralianNA2!$DF$12:$DF$244</definedName>
    <definedName name="FN2_Data">[14]AustralianNA2!$DF$244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 i="81" l="1"/>
  <c r="C15" i="81"/>
  <c r="G14" i="81"/>
  <c r="E14" i="81"/>
  <c r="D14" i="81"/>
  <c r="C14" i="81"/>
  <c r="G13" i="81"/>
  <c r="E13" i="81"/>
  <c r="D13" i="81"/>
  <c r="C13" i="81"/>
  <c r="G12" i="81"/>
  <c r="E12" i="81"/>
  <c r="D12" i="81"/>
  <c r="C12" i="81"/>
  <c r="G11" i="81"/>
  <c r="E11" i="81"/>
  <c r="D11" i="81"/>
  <c r="C11" i="81"/>
  <c r="G10" i="81"/>
  <c r="F10" i="81"/>
  <c r="E10" i="81"/>
  <c r="D10" i="81"/>
  <c r="F9" i="81"/>
  <c r="G9" i="81" s="1"/>
  <c r="E9" i="81"/>
  <c r="D9" i="81"/>
  <c r="F8" i="81"/>
  <c r="G8" i="81" s="1"/>
  <c r="E8" i="81"/>
  <c r="D8" i="81"/>
  <c r="F7" i="81"/>
  <c r="G7" i="81" s="1"/>
  <c r="E7" i="81"/>
  <c r="D7" i="81"/>
  <c r="G6" i="81"/>
  <c r="F6" i="81"/>
  <c r="E6" i="81"/>
  <c r="D6" i="81"/>
  <c r="S81" i="79"/>
  <c r="O81" i="79"/>
  <c r="N81" i="79"/>
  <c r="M81" i="79"/>
  <c r="L81" i="79"/>
  <c r="K81" i="79"/>
  <c r="H81" i="79" s="1"/>
  <c r="J81" i="79"/>
  <c r="AB80" i="79"/>
  <c r="S80" i="79"/>
  <c r="O80" i="79"/>
  <c r="N80" i="79"/>
  <c r="M80" i="79"/>
  <c r="H80" i="79" s="1"/>
  <c r="L80" i="79"/>
  <c r="K80" i="79"/>
  <c r="J80" i="79"/>
  <c r="AB79" i="79"/>
  <c r="S79" i="79"/>
  <c r="O79" i="79"/>
  <c r="N79" i="79"/>
  <c r="M79" i="79"/>
  <c r="L79" i="79"/>
  <c r="K79" i="79"/>
  <c r="J79" i="79"/>
  <c r="H79" i="79"/>
  <c r="AB78" i="79"/>
  <c r="S78" i="79"/>
  <c r="O78" i="79"/>
  <c r="N78" i="79"/>
  <c r="M78" i="79"/>
  <c r="L78" i="79"/>
  <c r="K78" i="79"/>
  <c r="J78" i="79"/>
  <c r="H78" i="79" s="1"/>
  <c r="AB77" i="79"/>
  <c r="S77" i="79"/>
  <c r="O77" i="79"/>
  <c r="N77" i="79"/>
  <c r="M77" i="79"/>
  <c r="L77" i="79"/>
  <c r="K77" i="79"/>
  <c r="J77" i="79"/>
  <c r="H77" i="79" s="1"/>
  <c r="AB76" i="79"/>
  <c r="U76" i="79" s="1"/>
  <c r="W76" i="79" s="1"/>
  <c r="S76" i="79"/>
  <c r="O76" i="79"/>
  <c r="N76" i="79"/>
  <c r="M76" i="79"/>
  <c r="L76" i="79"/>
  <c r="K76" i="79"/>
  <c r="J76" i="79"/>
  <c r="H76" i="79" s="1"/>
  <c r="AB75" i="79"/>
  <c r="U75" i="79"/>
  <c r="W75" i="79" s="1"/>
  <c r="S75" i="79"/>
  <c r="O75" i="79"/>
  <c r="N75" i="79"/>
  <c r="M75" i="79"/>
  <c r="L75" i="79"/>
  <c r="K75" i="79"/>
  <c r="J75" i="79"/>
  <c r="H75" i="79"/>
  <c r="AB74" i="79"/>
  <c r="U74" i="79" s="1"/>
  <c r="W74" i="79" s="1"/>
  <c r="S74" i="79"/>
  <c r="O74" i="79"/>
  <c r="N74" i="79"/>
  <c r="M74" i="79"/>
  <c r="L74" i="79"/>
  <c r="K74" i="79"/>
  <c r="H74" i="79" s="1"/>
  <c r="J74" i="79"/>
  <c r="AB73" i="79"/>
  <c r="U73" i="79" s="1"/>
  <c r="W73" i="79" s="1"/>
  <c r="S73" i="79"/>
  <c r="O73" i="79"/>
  <c r="N73" i="79"/>
  <c r="M73" i="79"/>
  <c r="L73" i="79"/>
  <c r="K73" i="79"/>
  <c r="H73" i="79" s="1"/>
  <c r="J73" i="79"/>
  <c r="AB72" i="79"/>
  <c r="U72" i="79"/>
  <c r="W72" i="79" s="1"/>
  <c r="S72" i="79"/>
  <c r="O72" i="79"/>
  <c r="N72" i="79"/>
  <c r="M72" i="79"/>
  <c r="L72" i="79"/>
  <c r="K72" i="79"/>
  <c r="J72" i="79"/>
  <c r="H72" i="79"/>
  <c r="AB71" i="79"/>
  <c r="W71" i="79"/>
  <c r="U71" i="79"/>
  <c r="S71" i="79"/>
  <c r="O71" i="79"/>
  <c r="N71" i="79"/>
  <c r="M71" i="79"/>
  <c r="L71" i="79"/>
  <c r="K71" i="79"/>
  <c r="J71" i="79"/>
  <c r="H71" i="79" s="1"/>
  <c r="AB70" i="79"/>
  <c r="U70" i="79"/>
  <c r="W70" i="79" s="1"/>
  <c r="S70" i="79"/>
  <c r="O70" i="79"/>
  <c r="N70" i="79"/>
  <c r="M70" i="79"/>
  <c r="H70" i="79" s="1"/>
  <c r="L70" i="79"/>
  <c r="K70" i="79"/>
  <c r="J70" i="79"/>
  <c r="AB69" i="79"/>
  <c r="U69" i="79" s="1"/>
  <c r="W69" i="79" s="1"/>
  <c r="S69" i="79"/>
  <c r="O69" i="79"/>
  <c r="N69" i="79"/>
  <c r="M69" i="79"/>
  <c r="L69" i="79"/>
  <c r="K69" i="79"/>
  <c r="J69" i="79"/>
  <c r="H69" i="79" s="1"/>
  <c r="AB68" i="79"/>
  <c r="U68" i="79" s="1"/>
  <c r="W68" i="79" s="1"/>
  <c r="S68" i="79"/>
  <c r="O68" i="79"/>
  <c r="N68" i="79"/>
  <c r="M68" i="79"/>
  <c r="L68" i="79"/>
  <c r="K68" i="79"/>
  <c r="J68" i="79"/>
  <c r="H68" i="79" s="1"/>
  <c r="AB67" i="79"/>
  <c r="U67" i="79"/>
  <c r="W67" i="79" s="1"/>
  <c r="S67" i="79"/>
  <c r="O67" i="79"/>
  <c r="N67" i="79"/>
  <c r="M67" i="79"/>
  <c r="L67" i="79"/>
  <c r="K67" i="79"/>
  <c r="J67" i="79"/>
  <c r="H67" i="79"/>
  <c r="AB66" i="79"/>
  <c r="U66" i="79" s="1"/>
  <c r="W66" i="79" s="1"/>
  <c r="S66" i="79"/>
  <c r="O66" i="79"/>
  <c r="N66" i="79"/>
  <c r="M66" i="79"/>
  <c r="L66" i="79"/>
  <c r="K66" i="79"/>
  <c r="H66" i="79" s="1"/>
  <c r="J66" i="79"/>
  <c r="AB65" i="79"/>
  <c r="U65" i="79" s="1"/>
  <c r="W65" i="79" s="1"/>
  <c r="S65" i="79"/>
  <c r="O65" i="79"/>
  <c r="N65" i="79"/>
  <c r="M65" i="79"/>
  <c r="L65" i="79"/>
  <c r="K65" i="79"/>
  <c r="H65" i="79" s="1"/>
  <c r="J65" i="79"/>
  <c r="AB64" i="79"/>
  <c r="U64" i="79"/>
  <c r="W64" i="79" s="1"/>
  <c r="S64" i="79"/>
  <c r="O64" i="79"/>
  <c r="N64" i="79"/>
  <c r="M64" i="79"/>
  <c r="L64" i="79"/>
  <c r="K64" i="79"/>
  <c r="J64" i="79"/>
  <c r="H64" i="79"/>
  <c r="AB63" i="79"/>
  <c r="W63" i="79"/>
  <c r="U63" i="79"/>
  <c r="S63" i="79"/>
  <c r="O63" i="79"/>
  <c r="N63" i="79"/>
  <c r="M63" i="79"/>
  <c r="L63" i="79"/>
  <c r="K63" i="79"/>
  <c r="J63" i="79"/>
  <c r="H63" i="79" s="1"/>
  <c r="AB62" i="79"/>
  <c r="U62" i="79"/>
  <c r="W62" i="79" s="1"/>
  <c r="S62" i="79"/>
  <c r="O62" i="79"/>
  <c r="N62" i="79"/>
  <c r="M62" i="79"/>
  <c r="H62" i="79" s="1"/>
  <c r="L62" i="79"/>
  <c r="K62" i="79"/>
  <c r="J62" i="79"/>
  <c r="AB61" i="79"/>
  <c r="U61" i="79" s="1"/>
  <c r="W61" i="79" s="1"/>
  <c r="S61" i="79"/>
  <c r="O61" i="79"/>
  <c r="N61" i="79"/>
  <c r="M61" i="79"/>
  <c r="L61" i="79"/>
  <c r="K61" i="79"/>
  <c r="J61" i="79"/>
  <c r="H61" i="79" s="1"/>
  <c r="AB60" i="79"/>
  <c r="U60" i="79" s="1"/>
  <c r="W60" i="79" s="1"/>
  <c r="S60" i="79"/>
  <c r="O60" i="79"/>
  <c r="N60" i="79"/>
  <c r="M60" i="79"/>
  <c r="L60" i="79"/>
  <c r="K60" i="79"/>
  <c r="J60" i="79"/>
  <c r="H60" i="79" s="1"/>
  <c r="AB59" i="79"/>
  <c r="U59" i="79"/>
  <c r="W59" i="79" s="1"/>
  <c r="S59" i="79"/>
  <c r="O59" i="79"/>
  <c r="N59" i="79"/>
  <c r="M59" i="79"/>
  <c r="L59" i="79"/>
  <c r="K59" i="79"/>
  <c r="J59" i="79"/>
  <c r="H59" i="79"/>
  <c r="AB58" i="79"/>
  <c r="U58" i="79" s="1"/>
  <c r="W58" i="79" s="1"/>
  <c r="S58" i="79"/>
  <c r="O58" i="79"/>
  <c r="N58" i="79"/>
  <c r="M58" i="79"/>
  <c r="L58" i="79"/>
  <c r="K58" i="79"/>
  <c r="H58" i="79" s="1"/>
  <c r="J58" i="79"/>
  <c r="AB57" i="79"/>
  <c r="U57" i="79" s="1"/>
  <c r="W57" i="79" s="1"/>
  <c r="S57" i="79"/>
  <c r="O57" i="79"/>
  <c r="N57" i="79"/>
  <c r="M57" i="79"/>
  <c r="L57" i="79"/>
  <c r="K57" i="79"/>
  <c r="H57" i="79" s="1"/>
  <c r="J57" i="79"/>
  <c r="AB56" i="79"/>
  <c r="U56" i="79"/>
  <c r="W56" i="79" s="1"/>
  <c r="S56" i="79"/>
  <c r="O56" i="79"/>
  <c r="N56" i="79"/>
  <c r="M56" i="79"/>
  <c r="L56" i="79"/>
  <c r="K56" i="79"/>
  <c r="J56" i="79"/>
  <c r="H56" i="79"/>
  <c r="AB55" i="79"/>
  <c r="W55" i="79"/>
  <c r="U55" i="79"/>
  <c r="S55" i="79"/>
  <c r="O55" i="79"/>
  <c r="N55" i="79"/>
  <c r="M55" i="79"/>
  <c r="L55" i="79"/>
  <c r="K55" i="79"/>
  <c r="J55" i="79"/>
  <c r="H55" i="79" s="1"/>
  <c r="AB54" i="79"/>
  <c r="U54" i="79"/>
  <c r="W54" i="79" s="1"/>
  <c r="S54" i="79"/>
  <c r="O54" i="79"/>
  <c r="N54" i="79"/>
  <c r="M54" i="79"/>
  <c r="H54" i="79" s="1"/>
  <c r="L54" i="79"/>
  <c r="K54" i="79"/>
  <c r="J54" i="79"/>
  <c r="AB53" i="79"/>
  <c r="U53" i="79" s="1"/>
  <c r="W53" i="79" s="1"/>
  <c r="S53" i="79"/>
  <c r="O53" i="79"/>
  <c r="N53" i="79"/>
  <c r="M53" i="79"/>
  <c r="L53" i="79"/>
  <c r="K53" i="79"/>
  <c r="J53" i="79"/>
  <c r="H53" i="79" s="1"/>
  <c r="AB52" i="79"/>
  <c r="U52" i="79" s="1"/>
  <c r="W52" i="79" s="1"/>
  <c r="S52" i="79"/>
  <c r="O52" i="79"/>
  <c r="N52" i="79"/>
  <c r="M52" i="79"/>
  <c r="L52" i="79"/>
  <c r="K52" i="79"/>
  <c r="J52" i="79"/>
  <c r="H52" i="79" s="1"/>
  <c r="AB51" i="79"/>
  <c r="U51" i="79"/>
  <c r="W51" i="79" s="1"/>
  <c r="S51" i="79"/>
  <c r="O51" i="79"/>
  <c r="N51" i="79"/>
  <c r="M51" i="79"/>
  <c r="L51" i="79"/>
  <c r="K51" i="79"/>
  <c r="J51" i="79"/>
  <c r="H51" i="79"/>
  <c r="AB50" i="79"/>
  <c r="U50" i="79" s="1"/>
  <c r="W50" i="79" s="1"/>
  <c r="S50" i="79"/>
  <c r="O50" i="79"/>
  <c r="N50" i="79"/>
  <c r="M50" i="79"/>
  <c r="L50" i="79"/>
  <c r="K50" i="79"/>
  <c r="H50" i="79" s="1"/>
  <c r="J50" i="79"/>
  <c r="AB49" i="79"/>
  <c r="U49" i="79" s="1"/>
  <c r="W49" i="79" s="1"/>
  <c r="S49" i="79"/>
  <c r="O49" i="79"/>
  <c r="N49" i="79"/>
  <c r="M49" i="79"/>
  <c r="L49" i="79"/>
  <c r="K49" i="79"/>
  <c r="H49" i="79" s="1"/>
  <c r="J49" i="79"/>
  <c r="AB48" i="79"/>
  <c r="U48" i="79"/>
  <c r="W48" i="79" s="1"/>
  <c r="S48" i="79"/>
  <c r="O48" i="79"/>
  <c r="N48" i="79"/>
  <c r="M48" i="79"/>
  <c r="L48" i="79"/>
  <c r="K48" i="79"/>
  <c r="J48" i="79"/>
  <c r="H48" i="79"/>
  <c r="AB47" i="79"/>
  <c r="W47" i="79"/>
  <c r="U47" i="79"/>
  <c r="S47" i="79"/>
  <c r="O47" i="79"/>
  <c r="N47" i="79"/>
  <c r="M47" i="79"/>
  <c r="L47" i="79"/>
  <c r="K47" i="79"/>
  <c r="J47" i="79"/>
  <c r="H47" i="79" s="1"/>
  <c r="AB46" i="79"/>
  <c r="U46" i="79"/>
  <c r="W46" i="79" s="1"/>
  <c r="S46" i="79"/>
  <c r="O46" i="79"/>
  <c r="N46" i="79"/>
  <c r="M46" i="79"/>
  <c r="H46" i="79" s="1"/>
  <c r="L46" i="79"/>
  <c r="K46" i="79"/>
  <c r="J46" i="79"/>
  <c r="AB45" i="79"/>
  <c r="U45" i="79" s="1"/>
  <c r="W45" i="79" s="1"/>
  <c r="S45" i="79"/>
  <c r="O45" i="79"/>
  <c r="N45" i="79"/>
  <c r="M45" i="79"/>
  <c r="L45" i="79"/>
  <c r="K45" i="79"/>
  <c r="J45" i="79"/>
  <c r="H45" i="79" s="1"/>
  <c r="S44" i="79"/>
  <c r="O44" i="79"/>
  <c r="N44" i="79"/>
  <c r="M44" i="79"/>
  <c r="L44" i="79"/>
  <c r="K44" i="79"/>
  <c r="J44" i="79"/>
  <c r="H44" i="79" s="1"/>
  <c r="AB39" i="79"/>
  <c r="W39" i="79"/>
  <c r="U39" i="79"/>
  <c r="W36" i="79"/>
  <c r="V36" i="79"/>
  <c r="U36" i="79"/>
  <c r="V35" i="79"/>
  <c r="W35" i="79" s="1"/>
  <c r="U35" i="79"/>
  <c r="W34" i="79"/>
  <c r="V34" i="79"/>
  <c r="U34" i="79"/>
  <c r="V33" i="79"/>
  <c r="W33" i="79" s="1"/>
  <c r="U33" i="79"/>
  <c r="AB32" i="79"/>
  <c r="AB33" i="79" s="1"/>
  <c r="AB34" i="79" s="1"/>
  <c r="AB35" i="79" s="1"/>
  <c r="AB36" i="79" s="1"/>
  <c r="AB37" i="79" s="1"/>
  <c r="W32" i="79"/>
  <c r="V32" i="79"/>
  <c r="U32" i="79"/>
  <c r="V31" i="79"/>
  <c r="U31" i="79"/>
  <c r="W31" i="79" s="1"/>
  <c r="V30" i="79"/>
  <c r="U30" i="79"/>
  <c r="W30" i="79" s="1"/>
  <c r="V29" i="79"/>
  <c r="U29" i="79"/>
  <c r="W29" i="79" s="1"/>
  <c r="V28" i="79"/>
  <c r="W28" i="79" s="1"/>
  <c r="U28" i="79"/>
  <c r="S25" i="79"/>
  <c r="O25" i="79"/>
  <c r="N25" i="79"/>
  <c r="M25" i="79"/>
  <c r="L25" i="79"/>
  <c r="K25" i="79"/>
  <c r="J25" i="79"/>
  <c r="H25" i="79" s="1"/>
  <c r="S24" i="79"/>
  <c r="O24" i="79"/>
  <c r="N24" i="79"/>
  <c r="M24" i="79"/>
  <c r="L24" i="79"/>
  <c r="K24" i="79"/>
  <c r="J24" i="79"/>
  <c r="H24" i="79" s="1"/>
  <c r="S23" i="79"/>
  <c r="O23" i="79"/>
  <c r="N23" i="79"/>
  <c r="M23" i="79"/>
  <c r="L23" i="79"/>
  <c r="K23" i="79"/>
  <c r="J23" i="79"/>
  <c r="H23" i="79" s="1"/>
  <c r="S22" i="79"/>
  <c r="O22" i="79"/>
  <c r="N22" i="79"/>
  <c r="M22" i="79"/>
  <c r="L22" i="79"/>
  <c r="K22" i="79"/>
  <c r="J22" i="79"/>
  <c r="H22" i="79" s="1"/>
  <c r="S21" i="79"/>
  <c r="O21" i="79"/>
  <c r="N21" i="79"/>
  <c r="M21" i="79"/>
  <c r="L21" i="79"/>
  <c r="K21" i="79"/>
  <c r="J21" i="79"/>
  <c r="H21" i="79" s="1"/>
  <c r="S20" i="79"/>
  <c r="O20" i="79"/>
  <c r="N20" i="79"/>
  <c r="M20" i="79"/>
  <c r="L20" i="79"/>
  <c r="K20" i="79"/>
  <c r="J20" i="79"/>
  <c r="H20" i="79" s="1"/>
  <c r="S19" i="79"/>
  <c r="O19" i="79"/>
  <c r="N19" i="79"/>
  <c r="M19" i="79"/>
  <c r="L19" i="79"/>
  <c r="K19" i="79"/>
  <c r="J19" i="79"/>
  <c r="H19" i="79" s="1"/>
  <c r="S18" i="79"/>
  <c r="O18" i="79"/>
  <c r="N18" i="79"/>
  <c r="M18" i="79"/>
  <c r="L18" i="79"/>
  <c r="K18" i="79"/>
  <c r="J18" i="79"/>
  <c r="H18" i="79" s="1"/>
  <c r="S17" i="79"/>
  <c r="O17" i="79"/>
  <c r="N17" i="79"/>
  <c r="M17" i="79"/>
  <c r="L17" i="79"/>
  <c r="K17" i="79"/>
  <c r="J17" i="79"/>
  <c r="H17" i="79" s="1"/>
  <c r="S16" i="79"/>
  <c r="O16" i="79"/>
  <c r="N16" i="79"/>
  <c r="M16" i="79"/>
  <c r="L16" i="79"/>
  <c r="K16" i="79"/>
  <c r="J16" i="79"/>
  <c r="H16" i="79" s="1"/>
  <c r="S15" i="79"/>
  <c r="O15" i="79"/>
  <c r="N15" i="79"/>
  <c r="M15" i="79"/>
  <c r="L15" i="79"/>
  <c r="K15" i="79"/>
  <c r="J15" i="79"/>
  <c r="H15" i="79" s="1"/>
  <c r="S14" i="79"/>
  <c r="O14" i="79"/>
  <c r="N14" i="79"/>
  <c r="M14" i="79"/>
  <c r="L14" i="79"/>
  <c r="K14" i="79"/>
  <c r="J14" i="79"/>
  <c r="H14" i="79" s="1"/>
  <c r="S13" i="79"/>
  <c r="O13" i="79"/>
  <c r="N13" i="79"/>
  <c r="M13" i="79"/>
  <c r="L13" i="79"/>
  <c r="K13" i="79"/>
  <c r="J13" i="79"/>
  <c r="H13" i="79" s="1"/>
  <c r="S12" i="79"/>
  <c r="O12" i="79"/>
  <c r="N12" i="79"/>
  <c r="M12" i="79"/>
  <c r="L12" i="79"/>
  <c r="K12" i="79"/>
  <c r="J12" i="79"/>
  <c r="H12" i="79" s="1"/>
  <c r="S11" i="79"/>
  <c r="O11" i="79"/>
  <c r="N11" i="79"/>
  <c r="M11" i="79"/>
  <c r="L11" i="79"/>
  <c r="K11" i="79"/>
  <c r="J11" i="79"/>
  <c r="H11" i="79" s="1"/>
  <c r="S10" i="79"/>
  <c r="O10" i="79"/>
  <c r="N10" i="79"/>
  <c r="M10" i="79"/>
  <c r="L10" i="79"/>
  <c r="K10" i="79"/>
  <c r="J10" i="79"/>
  <c r="H10" i="79" s="1"/>
  <c r="G16" i="75"/>
  <c r="F16" i="75"/>
  <c r="E16" i="75"/>
  <c r="D16" i="75"/>
  <c r="C16" i="75"/>
  <c r="H10" i="75"/>
  <c r="H8" i="75"/>
  <c r="G7" i="75"/>
  <c r="G17" i="75" s="1"/>
  <c r="F7" i="75"/>
  <c r="F17" i="75" s="1"/>
  <c r="E7" i="75"/>
  <c r="E17" i="75" s="1"/>
  <c r="D7" i="75"/>
  <c r="D17" i="75" s="1"/>
  <c r="C7" i="75"/>
  <c r="C17" i="75" s="1"/>
  <c r="H6" i="75"/>
  <c r="H5" i="75"/>
  <c r="N63" i="74"/>
  <c r="O63" i="74" s="1"/>
  <c r="G63" i="74"/>
  <c r="H63" i="74" s="1"/>
  <c r="N62" i="74"/>
  <c r="O62" i="74" s="1"/>
  <c r="G62" i="74"/>
  <c r="H62" i="74" s="1"/>
  <c r="N61" i="74"/>
  <c r="O61" i="74" s="1"/>
  <c r="G61" i="74"/>
  <c r="H61" i="74" s="1"/>
  <c r="N60" i="74"/>
  <c r="O60" i="74" s="1"/>
  <c r="G60" i="74"/>
  <c r="H60" i="74" s="1"/>
  <c r="G59" i="74"/>
  <c r="H59" i="74" s="1"/>
  <c r="O58" i="74"/>
  <c r="H58" i="74"/>
  <c r="G58" i="74"/>
  <c r="B57" i="74"/>
  <c r="N57" i="74" s="1"/>
  <c r="O57" i="74" s="1"/>
  <c r="N56" i="74"/>
  <c r="O56" i="74" s="1"/>
  <c r="G56" i="74"/>
  <c r="H56" i="74" s="1"/>
  <c r="N55" i="74"/>
  <c r="O55" i="74" s="1"/>
  <c r="G55" i="74"/>
  <c r="H55" i="74" s="1"/>
  <c r="B55" i="74"/>
  <c r="B54" i="74"/>
  <c r="G54" i="74" s="1"/>
  <c r="H54" i="74" s="1"/>
  <c r="N53" i="74"/>
  <c r="O53" i="74" s="1"/>
  <c r="G53" i="74"/>
  <c r="B53" i="74"/>
  <c r="N51" i="74"/>
  <c r="K51" i="74"/>
  <c r="H51" i="74"/>
  <c r="G51" i="74"/>
  <c r="N50" i="74"/>
  <c r="K50" i="74"/>
  <c r="H50" i="74"/>
  <c r="G50" i="74"/>
  <c r="N49" i="74"/>
  <c r="K49" i="74"/>
  <c r="H49" i="74"/>
  <c r="G49" i="74"/>
  <c r="O48" i="74"/>
  <c r="N48" i="74"/>
  <c r="H48" i="74"/>
  <c r="G48" i="74"/>
  <c r="B47" i="74"/>
  <c r="N47" i="74" s="1"/>
  <c r="O47" i="74" s="1"/>
  <c r="B46" i="74"/>
  <c r="N46" i="74" s="1"/>
  <c r="O46" i="74" s="1"/>
  <c r="N45" i="74"/>
  <c r="K45" i="74"/>
  <c r="H45" i="74"/>
  <c r="G45" i="74"/>
  <c r="N44" i="74"/>
  <c r="K44" i="74"/>
  <c r="G44" i="74"/>
  <c r="H44" i="74" s="1"/>
  <c r="B43" i="74"/>
  <c r="N43" i="74" s="1"/>
  <c r="O43" i="74" s="1"/>
  <c r="N42" i="74"/>
  <c r="K42" i="74"/>
  <c r="G42" i="74"/>
  <c r="H42" i="74" s="1"/>
  <c r="N41" i="74"/>
  <c r="K41" i="74"/>
  <c r="G41" i="74"/>
  <c r="H41" i="74" s="1"/>
  <c r="B40" i="74"/>
  <c r="N40" i="74" s="1"/>
  <c r="O40" i="74" s="1"/>
  <c r="B39" i="74"/>
  <c r="N39" i="74" s="1"/>
  <c r="O39" i="74" s="1"/>
  <c r="N38" i="74"/>
  <c r="O38" i="74" s="1"/>
  <c r="G38" i="74"/>
  <c r="H38" i="74" s="1"/>
  <c r="B38" i="74"/>
  <c r="B37" i="74"/>
  <c r="N37" i="74" s="1"/>
  <c r="O37" i="74" s="1"/>
  <c r="N36" i="74"/>
  <c r="K36" i="74"/>
  <c r="G36" i="74"/>
  <c r="H36" i="74" s="1"/>
  <c r="B34" i="74"/>
  <c r="N34" i="74" s="1"/>
  <c r="O34" i="74" s="1"/>
  <c r="B33" i="74"/>
  <c r="N33" i="74" s="1"/>
  <c r="O33" i="74" s="1"/>
  <c r="N32" i="74"/>
  <c r="O32" i="74" s="1"/>
  <c r="G32" i="74"/>
  <c r="H32" i="74" s="1"/>
  <c r="B32" i="74"/>
  <c r="B31" i="74"/>
  <c r="N31" i="74" s="1"/>
  <c r="O31" i="74" s="1"/>
  <c r="N30" i="74"/>
  <c r="O30" i="74" s="1"/>
  <c r="B30" i="74"/>
  <c r="G30" i="74" s="1"/>
  <c r="H30" i="74" s="1"/>
  <c r="B29" i="74"/>
  <c r="N29" i="74" s="1"/>
  <c r="O29" i="74" s="1"/>
  <c r="B28" i="74"/>
  <c r="N28" i="74" s="1"/>
  <c r="O28" i="74" s="1"/>
  <c r="N27" i="74"/>
  <c r="O27" i="74" s="1"/>
  <c r="B27" i="74"/>
  <c r="G27" i="74" s="1"/>
  <c r="H27" i="74" s="1"/>
  <c r="B26" i="74"/>
  <c r="G26" i="74" s="1"/>
  <c r="H26" i="74" s="1"/>
  <c r="B25" i="74"/>
  <c r="N25" i="74" s="1"/>
  <c r="O25" i="74" s="1"/>
  <c r="N24" i="74"/>
  <c r="O24" i="74" s="1"/>
  <c r="G24" i="74"/>
  <c r="H24" i="74" s="1"/>
  <c r="B24" i="74"/>
  <c r="B23" i="74"/>
  <c r="N23" i="74" s="1"/>
  <c r="O23" i="74" s="1"/>
  <c r="N22" i="74"/>
  <c r="O22" i="74" s="1"/>
  <c r="B22" i="74"/>
  <c r="G22" i="74" s="1"/>
  <c r="H22" i="74" s="1"/>
  <c r="B21" i="74"/>
  <c r="G21" i="74" s="1"/>
  <c r="H21" i="74" s="1"/>
  <c r="B20" i="74"/>
  <c r="N20" i="74" s="1"/>
  <c r="O20" i="74" s="1"/>
  <c r="N19" i="74"/>
  <c r="O19" i="74" s="1"/>
  <c r="B19" i="74"/>
  <c r="G19" i="74" s="1"/>
  <c r="H19" i="74" s="1"/>
  <c r="B18" i="74"/>
  <c r="N18" i="74" s="1"/>
  <c r="O18" i="74" s="1"/>
  <c r="B17" i="74"/>
  <c r="N17" i="74" s="1"/>
  <c r="O17" i="74" s="1"/>
  <c r="N16" i="74"/>
  <c r="O16" i="74" s="1"/>
  <c r="G16" i="74"/>
  <c r="H16" i="74" s="1"/>
  <c r="B16" i="74"/>
  <c r="B15" i="74"/>
  <c r="G15" i="74" s="1"/>
  <c r="H15" i="74" s="1"/>
  <c r="N14" i="74"/>
  <c r="O14" i="74" s="1"/>
  <c r="B14" i="74"/>
  <c r="G14" i="74" s="1"/>
  <c r="H14" i="74" s="1"/>
  <c r="B13" i="74"/>
  <c r="N13" i="74" s="1"/>
  <c r="O13" i="74" s="1"/>
  <c r="B12" i="74"/>
  <c r="N12" i="74" s="1"/>
  <c r="O12" i="74" s="1"/>
  <c r="N11" i="74"/>
  <c r="O11" i="74" s="1"/>
  <c r="B11" i="74"/>
  <c r="G11" i="74" s="1"/>
  <c r="H11" i="74" s="1"/>
  <c r="B10" i="74"/>
  <c r="N10" i="74" s="1"/>
  <c r="O10" i="74" s="1"/>
  <c r="B9" i="74"/>
  <c r="N9" i="74" s="1"/>
  <c r="O9" i="74" s="1"/>
  <c r="N8" i="74"/>
  <c r="O8" i="74" s="1"/>
  <c r="G8" i="74"/>
  <c r="H8" i="74" s="1"/>
  <c r="B8" i="74"/>
  <c r="B7" i="74"/>
  <c r="N7" i="74" s="1"/>
  <c r="O7" i="74" s="1"/>
  <c r="N6" i="74"/>
  <c r="O6" i="74" s="1"/>
  <c r="B6" i="74"/>
  <c r="G6" i="74" s="1"/>
  <c r="H6" i="74" s="1"/>
  <c r="B5" i="74"/>
  <c r="N5" i="74" s="1"/>
  <c r="O5" i="74" s="1"/>
  <c r="U37" i="79" l="1"/>
  <c r="W37" i="79" s="1"/>
  <c r="AB38" i="79"/>
  <c r="U38" i="79" s="1"/>
  <c r="W38" i="79" s="1"/>
  <c r="AB40" i="79"/>
  <c r="H7" i="75"/>
  <c r="G46" i="74"/>
  <c r="H46" i="74" s="1"/>
  <c r="G13" i="74"/>
  <c r="H13" i="74" s="1"/>
  <c r="N54" i="74"/>
  <c r="O54" i="74" s="1"/>
  <c r="G5" i="74"/>
  <c r="H5" i="74" s="1"/>
  <c r="G10" i="74"/>
  <c r="H10" i="74" s="1"/>
  <c r="G18" i="74"/>
  <c r="H18" i="74" s="1"/>
  <c r="G34" i="74"/>
  <c r="H34" i="74" s="1"/>
  <c r="G40" i="74"/>
  <c r="H40" i="74" s="1"/>
  <c r="G7" i="74"/>
  <c r="H7" i="74" s="1"/>
  <c r="N21" i="74"/>
  <c r="O21" i="74" s="1"/>
  <c r="G23" i="74"/>
  <c r="H23" i="74" s="1"/>
  <c r="G31" i="74"/>
  <c r="H31" i="74" s="1"/>
  <c r="G37" i="74"/>
  <c r="H37" i="74" s="1"/>
  <c r="G12" i="74"/>
  <c r="H12" i="74" s="1"/>
  <c r="G20" i="74"/>
  <c r="H20" i="74" s="1"/>
  <c r="N26" i="74"/>
  <c r="O26" i="74" s="1"/>
  <c r="G28" i="74"/>
  <c r="H28" i="74" s="1"/>
  <c r="G9" i="74"/>
  <c r="H9" i="74" s="1"/>
  <c r="N15" i="74"/>
  <c r="O15" i="74" s="1"/>
  <c r="G17" i="74"/>
  <c r="H17" i="74" s="1"/>
  <c r="G25" i="74"/>
  <c r="H25" i="74" s="1"/>
  <c r="G33" i="74"/>
  <c r="H33" i="74" s="1"/>
  <c r="G39" i="74"/>
  <c r="H39" i="74" s="1"/>
  <c r="G43" i="74"/>
  <c r="H43" i="74" s="1"/>
  <c r="H53" i="74"/>
  <c r="G47" i="74"/>
  <c r="H47" i="74" s="1"/>
  <c r="G57" i="74"/>
  <c r="H57" i="74" s="1"/>
  <c r="G29" i="74"/>
  <c r="H29" i="74" s="1"/>
  <c r="C98" i="60"/>
  <c r="C97" i="60"/>
  <c r="C96" i="60"/>
  <c r="C95" i="60"/>
  <c r="C94" i="60"/>
  <c r="C93" i="60"/>
  <c r="AB41" i="79" l="1"/>
  <c r="U40" i="79"/>
  <c r="W40" i="79" s="1"/>
  <c r="G64" i="74"/>
  <c r="H64" i="74" s="1"/>
  <c r="D44" i="60"/>
  <c r="C99" i="60"/>
  <c r="C92" i="60"/>
  <c r="AB42" i="79" l="1"/>
  <c r="U41" i="79"/>
  <c r="W41" i="79" s="1"/>
  <c r="K51" i="63"/>
  <c r="K50" i="63"/>
  <c r="K49" i="63"/>
  <c r="K45" i="63"/>
  <c r="K44" i="63"/>
  <c r="K42" i="63"/>
  <c r="K41" i="63"/>
  <c r="K36" i="63"/>
  <c r="U42" i="79" l="1"/>
  <c r="W42" i="79" s="1"/>
  <c r="AB43" i="79"/>
  <c r="D100" i="60"/>
  <c r="D93" i="60"/>
  <c r="D94" i="60"/>
  <c r="D95" i="60"/>
  <c r="D96" i="60"/>
  <c r="D97" i="60"/>
  <c r="D98" i="60"/>
  <c r="D99" i="60"/>
  <c r="D92" i="60"/>
  <c r="D48" i="60"/>
  <c r="D49" i="60"/>
  <c r="D50" i="60"/>
  <c r="D51" i="60"/>
  <c r="D52" i="60"/>
  <c r="D53" i="60"/>
  <c r="D47" i="60"/>
  <c r="D45" i="60"/>
  <c r="D43" i="60"/>
  <c r="D35" i="60"/>
  <c r="D36" i="60"/>
  <c r="D37" i="60"/>
  <c r="D38" i="60"/>
  <c r="D39" i="60"/>
  <c r="D40" i="60"/>
  <c r="D41" i="60"/>
  <c r="D34" i="60"/>
  <c r="D32" i="60"/>
  <c r="D30" i="60"/>
  <c r="D29" i="60"/>
  <c r="D27" i="60"/>
  <c r="D28" i="60"/>
  <c r="D26" i="60"/>
  <c r="D15" i="60"/>
  <c r="D16" i="60"/>
  <c r="D17" i="60"/>
  <c r="D18" i="60"/>
  <c r="D19" i="60"/>
  <c r="D20" i="60"/>
  <c r="D21" i="60"/>
  <c r="D22" i="60"/>
  <c r="D23" i="60"/>
  <c r="D24" i="60"/>
  <c r="D14" i="60"/>
  <c r="D12" i="60"/>
  <c r="D11" i="60"/>
  <c r="AB44" i="79" l="1"/>
  <c r="U44" i="79" s="1"/>
  <c r="W44" i="79" s="1"/>
  <c r="U43" i="79"/>
  <c r="W43" i="79" s="1"/>
  <c r="D5" i="70"/>
  <c r="D6" i="70"/>
  <c r="D7" i="70"/>
  <c r="D8" i="70"/>
  <c r="D9" i="70"/>
  <c r="D10" i="70"/>
  <c r="D11" i="70"/>
  <c r="D12" i="70"/>
  <c r="D13" i="70"/>
  <c r="D14" i="70"/>
  <c r="D15" i="70"/>
  <c r="D16" i="70"/>
  <c r="D17" i="70"/>
  <c r="D18" i="70"/>
  <c r="D19" i="70"/>
  <c r="D20" i="70"/>
  <c r="D21" i="70"/>
  <c r="D22" i="70"/>
  <c r="D23" i="70"/>
  <c r="D24" i="70"/>
  <c r="D25" i="70"/>
  <c r="D26" i="70"/>
  <c r="D27" i="70"/>
  <c r="D28" i="70"/>
  <c r="D29" i="70"/>
  <c r="D30" i="70"/>
  <c r="D31" i="70"/>
  <c r="D32" i="70"/>
  <c r="D33" i="70"/>
  <c r="C34" i="70"/>
  <c r="D34" i="70"/>
  <c r="E34" i="70"/>
  <c r="F34" i="70"/>
  <c r="C35" i="70"/>
  <c r="D35" i="70"/>
  <c r="D36" i="70"/>
  <c r="D37" i="70"/>
  <c r="D38" i="70"/>
  <c r="D39" i="70"/>
  <c r="C40" i="70"/>
  <c r="D40" i="70"/>
  <c r="C41" i="70"/>
  <c r="D41" i="70"/>
  <c r="D42" i="70"/>
  <c r="C43" i="70"/>
  <c r="D43" i="70"/>
  <c r="C44" i="70"/>
  <c r="D44" i="70"/>
  <c r="D45" i="70"/>
  <c r="D46" i="70"/>
  <c r="C47" i="70"/>
  <c r="D47" i="70"/>
  <c r="C48" i="70"/>
  <c r="D48" i="70"/>
  <c r="C49" i="70"/>
  <c r="D49" i="70"/>
  <c r="C50" i="70"/>
  <c r="D50" i="70"/>
  <c r="C51" i="70"/>
  <c r="D51" i="70"/>
  <c r="E51" i="70"/>
  <c r="F51" i="70"/>
  <c r="D52" i="70"/>
  <c r="D53" i="70"/>
  <c r="D54" i="70"/>
  <c r="C55" i="70"/>
  <c r="D55" i="70"/>
  <c r="D56" i="70"/>
  <c r="C57" i="70"/>
  <c r="D57" i="70"/>
  <c r="E57" i="70"/>
  <c r="C58" i="70"/>
  <c r="D58" i="70"/>
  <c r="E58" i="70"/>
  <c r="C59" i="70"/>
  <c r="D59" i="70"/>
  <c r="C60" i="70"/>
  <c r="D60" i="70"/>
  <c r="C61" i="70"/>
  <c r="D61" i="70"/>
  <c r="C62" i="70"/>
  <c r="D62" i="70"/>
  <c r="C63" i="70"/>
  <c r="D63" i="70"/>
  <c r="E63" i="70"/>
  <c r="F63" i="70"/>
  <c r="D54" i="60" l="1"/>
  <c r="D55" i="60"/>
  <c r="D56" i="60"/>
  <c r="D58" i="60"/>
  <c r="D59" i="60"/>
  <c r="D60" i="60"/>
  <c r="D62" i="60"/>
  <c r="D63" i="60"/>
  <c r="D64" i="60"/>
  <c r="D65" i="60"/>
  <c r="D66" i="60"/>
  <c r="D67" i="60"/>
  <c r="D69" i="60"/>
  <c r="D71" i="60"/>
  <c r="D72" i="60"/>
  <c r="D73" i="60"/>
  <c r="D74" i="60"/>
  <c r="D75" i="60"/>
  <c r="D76" i="60"/>
  <c r="D77" i="60"/>
  <c r="D78" i="60"/>
  <c r="D79" i="60"/>
  <c r="D81" i="60"/>
  <c r="D82" i="60"/>
  <c r="D84" i="60"/>
  <c r="D90" i="60"/>
  <c r="O58" i="63"/>
  <c r="F57" i="70" s="1"/>
  <c r="F58" i="70"/>
  <c r="B47" i="63"/>
  <c r="C46" i="70" s="1"/>
  <c r="F47" i="1" l="1"/>
  <c r="AL9" i="55" l="1"/>
  <c r="AM9" i="55" s="1"/>
  <c r="AL51" i="55"/>
  <c r="AL50" i="55"/>
  <c r="AL49" i="55"/>
  <c r="AL48" i="55"/>
  <c r="AL46" i="55"/>
  <c r="AL45"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98" i="55"/>
  <c r="AL17" i="55"/>
  <c r="AL16" i="55"/>
  <c r="AL15" i="55"/>
  <c r="AL14" i="55"/>
  <c r="AL13" i="55"/>
  <c r="AL12" i="55"/>
  <c r="AL11" i="55"/>
  <c r="AL10" i="55"/>
  <c r="I216" i="1"/>
  <c r="I215" i="1"/>
  <c r="I212" i="1"/>
  <c r="I208" i="1"/>
  <c r="I205" i="1"/>
  <c r="I204" i="1"/>
  <c r="I203" i="1"/>
  <c r="I200" i="1"/>
  <c r="I199" i="1"/>
  <c r="I198" i="1"/>
  <c r="I197" i="1"/>
  <c r="I196" i="1"/>
  <c r="I195" i="1"/>
  <c r="I194" i="1"/>
  <c r="I193" i="1"/>
  <c r="I189" i="1"/>
  <c r="I188" i="1"/>
  <c r="I187" i="1"/>
  <c r="I181" i="1"/>
  <c r="I180" i="1"/>
  <c r="I176" i="1"/>
  <c r="I174" i="1"/>
  <c r="I172" i="1"/>
  <c r="I169" i="1"/>
  <c r="I168" i="1"/>
  <c r="I167" i="1"/>
  <c r="I166" i="1"/>
  <c r="I165" i="1"/>
  <c r="I164" i="1"/>
  <c r="I163" i="1"/>
  <c r="I162" i="1"/>
  <c r="I160" i="1"/>
  <c r="I159" i="1"/>
  <c r="R158" i="1"/>
  <c r="Q158" i="1"/>
  <c r="I158" i="1"/>
  <c r="H158" i="1"/>
  <c r="G158" i="1"/>
  <c r="I155" i="1"/>
  <c r="I154" i="1"/>
  <c r="I153" i="1"/>
  <c r="I152" i="1"/>
  <c r="I150" i="1"/>
  <c r="I149" i="1"/>
  <c r="I143" i="1"/>
  <c r="I140" i="1"/>
  <c r="I139" i="1"/>
  <c r="I138" i="1"/>
  <c r="I137" i="1"/>
  <c r="I135" i="1"/>
  <c r="I132" i="1"/>
  <c r="I129" i="1"/>
  <c r="I128" i="1"/>
  <c r="I127" i="1"/>
  <c r="R126" i="1"/>
  <c r="Q126" i="1"/>
  <c r="H126" i="1"/>
  <c r="G126" i="1"/>
  <c r="I121" i="1"/>
  <c r="I120" i="1"/>
  <c r="I118" i="1"/>
  <c r="I117" i="1"/>
  <c r="I116" i="1"/>
  <c r="I115" i="1"/>
  <c r="R114" i="1"/>
  <c r="Q114" i="1"/>
  <c r="I114" i="1"/>
  <c r="H114" i="1"/>
  <c r="G114" i="1"/>
  <c r="R113" i="1"/>
  <c r="Q113" i="1"/>
  <c r="I113" i="1"/>
  <c r="H113" i="1"/>
  <c r="G113" i="1"/>
  <c r="R112" i="1"/>
  <c r="Q112" i="1"/>
  <c r="I112" i="1"/>
  <c r="H112" i="1"/>
  <c r="G112" i="1"/>
  <c r="I109" i="1"/>
  <c r="I108" i="1"/>
  <c r="I106" i="1"/>
  <c r="I104" i="1"/>
  <c r="I102" i="1"/>
  <c r="I101" i="1"/>
  <c r="I100" i="1"/>
  <c r="I97" i="1"/>
  <c r="I96" i="1"/>
  <c r="I91" i="1"/>
  <c r="R89" i="1"/>
  <c r="Q89" i="1"/>
  <c r="H89" i="1"/>
  <c r="G89" i="1"/>
  <c r="R87" i="1"/>
  <c r="Q87" i="1"/>
  <c r="I87" i="1"/>
  <c r="H87" i="1"/>
  <c r="G87" i="1"/>
  <c r="R86" i="1"/>
  <c r="Q86" i="1"/>
  <c r="I86" i="1"/>
  <c r="H86" i="1"/>
  <c r="G86" i="1"/>
  <c r="R85" i="1"/>
  <c r="Q85" i="1"/>
  <c r="I85" i="1"/>
  <c r="H85" i="1"/>
  <c r="G85" i="1"/>
  <c r="R84" i="1"/>
  <c r="Q84" i="1"/>
  <c r="I84" i="1"/>
  <c r="H84" i="1"/>
  <c r="G84" i="1"/>
  <c r="I82" i="1"/>
  <c r="R80" i="1"/>
  <c r="I80" i="1"/>
  <c r="H80" i="1"/>
  <c r="G80" i="1"/>
  <c r="R79" i="1"/>
  <c r="H79" i="1"/>
  <c r="G79" i="1"/>
  <c r="I78" i="1"/>
  <c r="R75" i="1"/>
  <c r="I75" i="1"/>
  <c r="H75" i="1"/>
  <c r="G75" i="1"/>
  <c r="R73" i="1"/>
  <c r="I73" i="1"/>
  <c r="H73" i="1"/>
  <c r="G73" i="1"/>
  <c r="R71" i="1"/>
  <c r="I71" i="1"/>
  <c r="H71" i="1"/>
  <c r="G71" i="1"/>
  <c r="R70" i="1"/>
  <c r="H70" i="1"/>
  <c r="G70" i="1"/>
  <c r="I69" i="1"/>
  <c r="R68" i="1"/>
  <c r="H68" i="1"/>
  <c r="G68" i="1"/>
  <c r="R66" i="1"/>
  <c r="Q66" i="1"/>
  <c r="H66" i="1"/>
  <c r="G66" i="1"/>
  <c r="R65" i="1"/>
  <c r="H65" i="1"/>
  <c r="G65" i="1"/>
  <c r="R63" i="1"/>
  <c r="I63" i="1"/>
  <c r="H63" i="1"/>
  <c r="G63" i="1"/>
  <c r="I61" i="1"/>
  <c r="I56" i="1"/>
  <c r="I55" i="1"/>
  <c r="R54" i="1"/>
  <c r="H54" i="1"/>
  <c r="G54" i="1"/>
  <c r="G52" i="1"/>
  <c r="G51" i="1"/>
  <c r="G50" i="1"/>
  <c r="G49" i="1"/>
  <c r="G48" i="1"/>
  <c r="R47" i="1"/>
  <c r="Q47" i="1"/>
  <c r="H47" i="1"/>
  <c r="G47" i="1"/>
  <c r="P46" i="1"/>
  <c r="G46" i="1"/>
  <c r="F46" i="1"/>
  <c r="P44" i="1"/>
  <c r="F44" i="1"/>
  <c r="P43" i="1"/>
  <c r="F43" i="1"/>
  <c r="P42" i="1"/>
  <c r="F42" i="1"/>
  <c r="P40" i="1"/>
  <c r="F40" i="1"/>
  <c r="P38" i="1"/>
  <c r="F38" i="1"/>
  <c r="P37" i="1"/>
  <c r="F37" i="1"/>
  <c r="P36" i="1"/>
  <c r="F36" i="1"/>
  <c r="P35" i="1"/>
  <c r="F35" i="1"/>
  <c r="P33" i="1"/>
  <c r="F33" i="1"/>
  <c r="P32" i="1"/>
  <c r="F32" i="1"/>
  <c r="P30" i="1"/>
  <c r="F30" i="1"/>
  <c r="P29" i="1"/>
  <c r="F29" i="1"/>
  <c r="T28" i="1"/>
  <c r="R28" i="1"/>
  <c r="Q28" i="1"/>
  <c r="P28" i="1"/>
  <c r="H28" i="1"/>
  <c r="G28" i="1"/>
  <c r="F28" i="1"/>
  <c r="P25" i="1"/>
  <c r="F25" i="1"/>
  <c r="P24" i="1"/>
  <c r="F24" i="1"/>
  <c r="P23" i="1"/>
  <c r="F23" i="1"/>
  <c r="P22" i="1"/>
  <c r="F22" i="1"/>
  <c r="P21" i="1"/>
  <c r="F21" i="1"/>
  <c r="P20" i="1"/>
  <c r="F20" i="1"/>
  <c r="P18" i="1"/>
  <c r="F18" i="1"/>
  <c r="P17" i="1"/>
  <c r="F17" i="1"/>
  <c r="P16" i="1"/>
  <c r="F16" i="1"/>
  <c r="P15" i="1"/>
  <c r="F15" i="1"/>
  <c r="P14" i="1"/>
  <c r="F14" i="1"/>
  <c r="P13" i="1"/>
  <c r="F13" i="1"/>
  <c r="P12" i="1"/>
  <c r="F12" i="1"/>
  <c r="P11" i="1"/>
  <c r="F11" i="1"/>
  <c r="F89" i="26"/>
  <c r="AK88" i="26"/>
  <c r="AJ88" i="26"/>
  <c r="D88" i="26"/>
  <c r="B87" i="26"/>
  <c r="AK86" i="26"/>
  <c r="AJ86" i="26"/>
  <c r="B86" i="26"/>
  <c r="F86" i="26" s="1"/>
  <c r="AK85" i="26"/>
  <c r="AJ85" i="26"/>
  <c r="D85" i="26"/>
  <c r="B85" i="26"/>
  <c r="F85" i="26" s="1"/>
  <c r="AK84" i="26"/>
  <c r="AJ84" i="26"/>
  <c r="D84" i="26"/>
  <c r="B84" i="26"/>
  <c r="F84" i="26" s="1"/>
  <c r="AK83" i="26"/>
  <c r="AJ83" i="26"/>
  <c r="D83" i="26"/>
  <c r="B83" i="26"/>
  <c r="B82" i="26"/>
  <c r="B81" i="26"/>
  <c r="F81" i="26" s="1"/>
  <c r="B80" i="26"/>
  <c r="AK79" i="26"/>
  <c r="AJ79" i="26"/>
  <c r="B79" i="26"/>
  <c r="AK78" i="26"/>
  <c r="AJ78" i="26"/>
  <c r="B78" i="26"/>
  <c r="F77" i="26"/>
  <c r="B75" i="26"/>
  <c r="AK74" i="26"/>
  <c r="AJ74" i="26"/>
  <c r="B74" i="26"/>
  <c r="F74" i="26" s="1"/>
  <c r="B73" i="26"/>
  <c r="AK72" i="26"/>
  <c r="AJ72" i="26"/>
  <c r="B72" i="26"/>
  <c r="B71" i="26"/>
  <c r="AK70" i="26"/>
  <c r="AJ70" i="26"/>
  <c r="B70" i="26"/>
  <c r="F70" i="26" s="1"/>
  <c r="AK69" i="26"/>
  <c r="AJ69" i="26"/>
  <c r="B69" i="26"/>
  <c r="B68" i="26"/>
  <c r="AK67" i="26"/>
  <c r="AJ67" i="26"/>
  <c r="B67" i="26"/>
  <c r="B66" i="26"/>
  <c r="AK65" i="26"/>
  <c r="AJ65" i="26"/>
  <c r="B65" i="26"/>
  <c r="AK64" i="26"/>
  <c r="AJ64" i="26"/>
  <c r="B64" i="26"/>
  <c r="B63" i="26"/>
  <c r="AK62" i="26"/>
  <c r="AJ62" i="26"/>
  <c r="B62" i="26"/>
  <c r="F62" i="26" s="1"/>
  <c r="B61" i="26"/>
  <c r="B60" i="26"/>
  <c r="F60" i="26" s="1"/>
  <c r="B59" i="26"/>
  <c r="B58" i="26"/>
  <c r="B57" i="26"/>
  <c r="F57" i="26" s="1"/>
  <c r="B56" i="26"/>
  <c r="B55" i="26"/>
  <c r="F55" i="26" s="1"/>
  <c r="B54" i="26"/>
  <c r="AK53" i="26"/>
  <c r="AJ53" i="26"/>
  <c r="B53" i="26"/>
  <c r="F53" i="26" s="1"/>
  <c r="AC52" i="26"/>
  <c r="F52" i="26"/>
  <c r="L51" i="26"/>
  <c r="H51" i="26"/>
  <c r="T50" i="26"/>
  <c r="L50" i="26"/>
  <c r="H50" i="26"/>
  <c r="D50" i="26"/>
  <c r="L48" i="26"/>
  <c r="H48" i="26"/>
  <c r="L47" i="26"/>
  <c r="H47" i="26"/>
  <c r="L46" i="26"/>
  <c r="H46" i="26"/>
  <c r="D46" i="26"/>
  <c r="L45" i="26"/>
  <c r="H45" i="26"/>
  <c r="AC44" i="26"/>
  <c r="F44" i="26"/>
  <c r="AC43" i="26"/>
  <c r="L43" i="26"/>
  <c r="J43" i="26"/>
  <c r="H43" i="26"/>
  <c r="D43" i="26"/>
  <c r="L42" i="26"/>
  <c r="H42" i="26"/>
  <c r="D42" i="26"/>
  <c r="L41" i="26"/>
  <c r="H41" i="26"/>
  <c r="D41" i="26"/>
  <c r="L40" i="26"/>
  <c r="H40" i="26"/>
  <c r="D40" i="26"/>
  <c r="L39" i="26"/>
  <c r="H39" i="26"/>
  <c r="D39" i="26"/>
  <c r="L38" i="26"/>
  <c r="H38" i="26"/>
  <c r="D38" i="26"/>
  <c r="AC37" i="26"/>
  <c r="L37" i="26"/>
  <c r="H37" i="26"/>
  <c r="D37" i="26"/>
  <c r="AC36" i="26"/>
  <c r="T36" i="26"/>
  <c r="P36" i="26"/>
  <c r="L36" i="26"/>
  <c r="H36" i="26"/>
  <c r="F36" i="26"/>
  <c r="D36" i="26"/>
  <c r="L35" i="26"/>
  <c r="H35" i="26"/>
  <c r="D35" i="26"/>
  <c r="L34" i="26"/>
  <c r="H34" i="26"/>
  <c r="D34" i="26"/>
  <c r="L33" i="26"/>
  <c r="H33" i="26"/>
  <c r="D33" i="26"/>
  <c r="L32" i="26"/>
  <c r="H32" i="26"/>
  <c r="D32" i="26"/>
  <c r="U31" i="26"/>
  <c r="L31" i="26"/>
  <c r="H31" i="26"/>
  <c r="D31" i="26"/>
  <c r="L30" i="26"/>
  <c r="H30" i="26"/>
  <c r="D30" i="26"/>
  <c r="U29" i="26"/>
  <c r="L29" i="26"/>
  <c r="H29" i="26"/>
  <c r="D29" i="26"/>
  <c r="AC28" i="26"/>
  <c r="L28" i="26"/>
  <c r="H28" i="26"/>
  <c r="AC27" i="26"/>
  <c r="T27" i="26"/>
  <c r="P27" i="26"/>
  <c r="L27" i="26"/>
  <c r="H27" i="26"/>
  <c r="F27" i="26"/>
  <c r="D27" i="26"/>
  <c r="L26" i="26"/>
  <c r="H26" i="26"/>
  <c r="D26" i="26"/>
  <c r="L25" i="26"/>
  <c r="H25" i="26"/>
  <c r="D25" i="26"/>
  <c r="L24" i="26"/>
  <c r="H24" i="26"/>
  <c r="D24" i="26"/>
  <c r="U23" i="26"/>
  <c r="L23" i="26"/>
  <c r="H23" i="26"/>
  <c r="D23" i="26"/>
  <c r="AC22" i="26"/>
  <c r="L21" i="26"/>
  <c r="H21" i="26"/>
  <c r="D21" i="26"/>
  <c r="L20" i="26"/>
  <c r="H20" i="26"/>
  <c r="L19" i="26"/>
  <c r="H19" i="26"/>
  <c r="D19" i="26"/>
  <c r="L18" i="26"/>
  <c r="H18" i="26"/>
  <c r="D18" i="26"/>
  <c r="L17" i="26"/>
  <c r="H17" i="26"/>
  <c r="D17" i="26"/>
  <c r="AC16" i="26"/>
  <c r="L16" i="26"/>
  <c r="H16" i="26"/>
  <c r="D16" i="26"/>
  <c r="L15" i="26"/>
  <c r="H15" i="26"/>
  <c r="D15" i="26"/>
  <c r="L14" i="26"/>
  <c r="H14" i="26"/>
  <c r="D14" i="26"/>
  <c r="L13" i="26"/>
  <c r="H13" i="26"/>
  <c r="D13" i="26"/>
  <c r="L12" i="26"/>
  <c r="H12" i="26"/>
  <c r="D12" i="26"/>
  <c r="L11" i="26"/>
  <c r="H11" i="26"/>
  <c r="D11" i="26"/>
  <c r="L10" i="26"/>
  <c r="H10" i="26"/>
  <c r="D10" i="26"/>
  <c r="L9" i="26"/>
  <c r="H9" i="26"/>
  <c r="D37" i="3"/>
  <c r="C37" i="3"/>
  <c r="B37" i="3"/>
  <c r="D36" i="3"/>
  <c r="C36" i="3"/>
  <c r="B36" i="3"/>
  <c r="D35" i="3"/>
  <c r="C35" i="3"/>
  <c r="B35" i="3"/>
  <c r="D34" i="3"/>
  <c r="C34" i="3"/>
  <c r="B34" i="3"/>
  <c r="D33" i="3"/>
  <c r="C33" i="3"/>
  <c r="B33" i="3"/>
  <c r="D32" i="3"/>
  <c r="C32" i="3"/>
  <c r="B32" i="3"/>
  <c r="D31" i="3"/>
  <c r="C31" i="3"/>
  <c r="B31" i="3"/>
  <c r="D30" i="3"/>
  <c r="C30" i="3"/>
  <c r="B30" i="3"/>
  <c r="D29" i="3"/>
  <c r="C29" i="3"/>
  <c r="B29" i="3"/>
  <c r="D28" i="3"/>
  <c r="C28" i="3"/>
  <c r="B28" i="3"/>
  <c r="D27" i="3"/>
  <c r="C27" i="3"/>
  <c r="B27" i="3"/>
  <c r="D26" i="3"/>
  <c r="C26" i="3"/>
  <c r="B26" i="3"/>
  <c r="D25" i="3"/>
  <c r="C25" i="3"/>
  <c r="B25" i="3"/>
  <c r="D24" i="3"/>
  <c r="C24" i="3"/>
  <c r="B24" i="3"/>
  <c r="D23" i="3"/>
  <c r="C23" i="3"/>
  <c r="B23" i="3"/>
  <c r="D22" i="3"/>
  <c r="C22" i="3"/>
  <c r="B22" i="3"/>
  <c r="D21" i="3"/>
  <c r="C21" i="3"/>
  <c r="B21" i="3"/>
  <c r="D20" i="3"/>
  <c r="C20" i="3"/>
  <c r="B20" i="3"/>
  <c r="D19" i="3"/>
  <c r="C19" i="3"/>
  <c r="B19" i="3"/>
  <c r="D18" i="3"/>
  <c r="C18" i="3"/>
  <c r="B18" i="3"/>
  <c r="D17" i="3"/>
  <c r="C17" i="3"/>
  <c r="B17" i="3"/>
  <c r="D16" i="3"/>
  <c r="C16" i="3"/>
  <c r="B16" i="3"/>
  <c r="D15" i="3"/>
  <c r="C15" i="3"/>
  <c r="B15" i="3"/>
  <c r="D14" i="3"/>
  <c r="C14" i="3"/>
  <c r="B14" i="3"/>
  <c r="D13" i="3"/>
  <c r="C13" i="3"/>
  <c r="B13" i="3"/>
  <c r="D12" i="3"/>
  <c r="D11" i="3"/>
  <c r="C11" i="3"/>
  <c r="B11" i="3"/>
  <c r="D10" i="3"/>
  <c r="C10" i="3"/>
  <c r="B10" i="3"/>
  <c r="D9" i="3"/>
  <c r="C9" i="3"/>
  <c r="B9" i="3"/>
  <c r="D8" i="3"/>
  <c r="C8" i="3"/>
  <c r="B8" i="3"/>
  <c r="C12" i="3"/>
  <c r="B12" i="3"/>
  <c r="J26" i="26" l="1"/>
  <c r="AO9" i="55"/>
  <c r="F72" i="26"/>
  <c r="F68" i="26"/>
  <c r="F79" i="26"/>
  <c r="F54" i="26"/>
  <c r="AG52" i="55" l="1"/>
  <c r="AH52" i="55" s="1"/>
  <c r="AG53" i="55"/>
  <c r="AH53" i="55" s="1"/>
  <c r="AG54" i="55"/>
  <c r="AH54" i="55" s="1"/>
  <c r="AG55" i="55"/>
  <c r="AH55" i="55" s="1"/>
  <c r="AG56" i="55"/>
  <c r="AH56" i="55" s="1"/>
  <c r="AG57" i="55"/>
  <c r="AH57" i="55" s="1"/>
  <c r="AG58" i="55"/>
  <c r="AH58" i="55" s="1"/>
  <c r="AG59" i="55"/>
  <c r="AH59" i="55" s="1"/>
  <c r="AG60" i="55"/>
  <c r="AH60" i="55" s="1"/>
  <c r="AG61" i="55"/>
  <c r="AH61" i="55" s="1"/>
  <c r="AG62" i="55"/>
  <c r="AH62" i="55" s="1"/>
  <c r="AG63" i="55"/>
  <c r="AH63" i="55" s="1"/>
  <c r="AG64" i="55"/>
  <c r="AH64" i="55" s="1"/>
  <c r="AG65" i="55"/>
  <c r="AH65" i="55" s="1"/>
  <c r="AG66" i="55"/>
  <c r="AH66" i="55" s="1"/>
  <c r="AG67" i="55"/>
  <c r="AH67" i="55" s="1"/>
  <c r="AG68" i="55"/>
  <c r="AH68" i="55" s="1"/>
  <c r="AG69" i="55"/>
  <c r="AH69" i="55" s="1"/>
  <c r="AG70" i="55"/>
  <c r="AH70" i="55" s="1"/>
  <c r="AG71" i="55"/>
  <c r="AH71" i="55" s="1"/>
  <c r="AG72" i="55"/>
  <c r="AH72" i="55" s="1"/>
  <c r="AG73" i="55"/>
  <c r="AH73" i="55" s="1"/>
  <c r="AG74" i="55"/>
  <c r="AH74" i="55" s="1"/>
  <c r="AG75" i="55"/>
  <c r="AH75" i="55" s="1"/>
  <c r="AG76" i="55"/>
  <c r="AH76" i="55" s="1"/>
  <c r="AG77" i="55"/>
  <c r="AH77" i="55" s="1"/>
  <c r="AG78" i="55"/>
  <c r="AH78" i="55" s="1"/>
  <c r="AG79" i="55"/>
  <c r="AH79" i="55" s="1"/>
  <c r="AG80" i="55"/>
  <c r="AH80" i="55" s="1"/>
  <c r="AG81" i="55"/>
  <c r="AH81" i="55" s="1"/>
  <c r="AG82" i="55"/>
  <c r="AH82" i="55" s="1"/>
  <c r="AG83" i="55"/>
  <c r="AH83" i="55" s="1"/>
  <c r="AG84" i="55"/>
  <c r="AH84" i="55" s="1"/>
  <c r="AG85" i="55"/>
  <c r="AH85" i="55" s="1"/>
  <c r="AG86" i="55"/>
  <c r="AH86" i="55" s="1"/>
  <c r="AG87" i="55"/>
  <c r="AH87" i="55" s="1"/>
  <c r="AG88" i="55"/>
  <c r="AH88" i="55" s="1"/>
  <c r="AG101" i="55"/>
  <c r="AH101" i="55" s="1"/>
  <c r="AI88" i="55" l="1"/>
  <c r="AI80" i="55"/>
  <c r="AI72" i="55"/>
  <c r="AI56" i="55"/>
  <c r="AI70" i="55"/>
  <c r="AI66" i="55"/>
  <c r="AI62" i="55"/>
  <c r="AI58" i="55"/>
  <c r="AI54" i="55"/>
  <c r="AI83" i="55"/>
  <c r="AI67" i="55"/>
  <c r="AI87" i="55"/>
  <c r="AI79" i="55"/>
  <c r="AI68" i="55"/>
  <c r="AI63" i="55"/>
  <c r="AI52" i="55"/>
  <c r="AI84" i="55"/>
  <c r="AI76" i="55"/>
  <c r="AI71" i="55"/>
  <c r="AI60" i="55"/>
  <c r="AI55" i="55"/>
  <c r="AI75" i="55"/>
  <c r="AI64" i="55"/>
  <c r="AI59" i="55"/>
  <c r="AI69" i="55"/>
  <c r="AI65" i="55"/>
  <c r="AI74" i="55"/>
  <c r="AI78" i="55"/>
  <c r="AI82" i="55"/>
  <c r="AI86" i="55"/>
  <c r="AI73" i="55"/>
  <c r="AI77" i="55"/>
  <c r="AI81" i="55"/>
  <c r="AI85" i="55"/>
  <c r="AI101" i="55"/>
  <c r="AI53" i="55"/>
  <c r="AI57" i="55"/>
  <c r="AI61" i="55"/>
  <c r="AG47" i="54"/>
  <c r="AH47" i="54" s="1"/>
  <c r="AJ47" i="54" s="1"/>
  <c r="AG88" i="54"/>
  <c r="AH88" i="54" s="1"/>
  <c r="AJ88" i="54" s="1"/>
  <c r="AG87" i="54"/>
  <c r="AH87" i="54" s="1"/>
  <c r="AJ87" i="54" s="1"/>
  <c r="AG86" i="54"/>
  <c r="AH86" i="54" s="1"/>
  <c r="AG85" i="54"/>
  <c r="AH85" i="54" s="1"/>
  <c r="AG84" i="54"/>
  <c r="AH84" i="54" s="1"/>
  <c r="AJ84" i="54" s="1"/>
  <c r="AG83" i="54"/>
  <c r="AH83" i="54" s="1"/>
  <c r="AJ83" i="54" s="1"/>
  <c r="AG82" i="54"/>
  <c r="AH82" i="54" s="1"/>
  <c r="AG81" i="54"/>
  <c r="AH81" i="54" s="1"/>
  <c r="AG80" i="54"/>
  <c r="AH80" i="54" s="1"/>
  <c r="AJ80" i="54" s="1"/>
  <c r="AM101" i="54"/>
  <c r="AN101" i="54" s="1"/>
  <c r="AM97" i="54"/>
  <c r="AN97" i="54" s="1"/>
  <c r="AP97" i="54" s="1"/>
  <c r="AM96" i="54"/>
  <c r="AN96" i="54" s="1"/>
  <c r="AM95" i="54"/>
  <c r="AN95" i="54" s="1"/>
  <c r="AM94" i="54"/>
  <c r="AN94" i="54" s="1"/>
  <c r="AP94" i="54" s="1"/>
  <c r="AM93" i="54"/>
  <c r="AN93" i="54" s="1"/>
  <c r="AP93" i="54" s="1"/>
  <c r="AM92" i="54"/>
  <c r="AN92" i="54" s="1"/>
  <c r="AM91" i="54"/>
  <c r="AN91" i="54" s="1"/>
  <c r="AM90" i="54"/>
  <c r="AN90" i="54" s="1"/>
  <c r="AP90" i="54" s="1"/>
  <c r="AM88" i="54"/>
  <c r="AN88" i="54" s="1"/>
  <c r="AP88" i="54" s="1"/>
  <c r="AM87" i="54"/>
  <c r="AN87" i="54" s="1"/>
  <c r="AM86" i="54"/>
  <c r="AN86" i="54" s="1"/>
  <c r="AM85" i="54"/>
  <c r="AN85" i="54" s="1"/>
  <c r="AP85" i="54" s="1"/>
  <c r="AM84" i="54"/>
  <c r="AN84" i="54" s="1"/>
  <c r="AP84" i="54" s="1"/>
  <c r="AM83" i="54"/>
  <c r="AN83" i="54" s="1"/>
  <c r="AM82" i="54"/>
  <c r="AN82" i="54" s="1"/>
  <c r="AM81" i="54"/>
  <c r="AN81" i="54" s="1"/>
  <c r="AP81" i="54" s="1"/>
  <c r="AM80" i="54"/>
  <c r="AN80" i="54" s="1"/>
  <c r="AP80" i="54" s="1"/>
  <c r="AM79" i="54"/>
  <c r="AN79" i="54" s="1"/>
  <c r="AM78" i="54"/>
  <c r="AN78" i="54" s="1"/>
  <c r="AM77" i="54"/>
  <c r="AN77" i="54" s="1"/>
  <c r="AP77" i="54" s="1"/>
  <c r="AM76" i="54"/>
  <c r="AN76" i="54" s="1"/>
  <c r="AP76" i="54" s="1"/>
  <c r="AM75" i="54"/>
  <c r="AN75" i="54" s="1"/>
  <c r="AM74" i="54"/>
  <c r="AN74" i="54" s="1"/>
  <c r="AM73" i="54"/>
  <c r="AN73" i="54" s="1"/>
  <c r="AP73" i="54" s="1"/>
  <c r="AM72" i="54"/>
  <c r="AN72" i="54" s="1"/>
  <c r="AP72" i="54" s="1"/>
  <c r="AM71" i="54"/>
  <c r="AN71" i="54" s="1"/>
  <c r="AM70" i="54"/>
  <c r="AN70" i="54" s="1"/>
  <c r="AM69" i="54"/>
  <c r="AN69" i="54" s="1"/>
  <c r="AP69" i="54" s="1"/>
  <c r="AM68" i="54"/>
  <c r="AN68" i="54" s="1"/>
  <c r="AP68" i="54" s="1"/>
  <c r="AM67" i="54"/>
  <c r="AN67" i="54" s="1"/>
  <c r="AM66" i="54"/>
  <c r="AN66" i="54" s="1"/>
  <c r="AM65" i="54"/>
  <c r="AN65" i="54" s="1"/>
  <c r="AP65" i="54" s="1"/>
  <c r="AM64" i="54"/>
  <c r="AN64" i="54" s="1"/>
  <c r="AP64" i="54" s="1"/>
  <c r="AM63" i="54"/>
  <c r="AN63" i="54" s="1"/>
  <c r="AM62" i="54"/>
  <c r="AN62" i="54" s="1"/>
  <c r="AM61" i="54"/>
  <c r="AN61" i="54" s="1"/>
  <c r="AP61" i="54" s="1"/>
  <c r="AM60" i="54"/>
  <c r="AN60" i="54" s="1"/>
  <c r="AP60" i="54" s="1"/>
  <c r="AM59" i="54"/>
  <c r="AN59" i="54" s="1"/>
  <c r="AM58" i="54"/>
  <c r="AN58" i="54" s="1"/>
  <c r="AM57" i="54"/>
  <c r="AN57" i="54" s="1"/>
  <c r="AP57" i="54" s="1"/>
  <c r="AM56" i="54"/>
  <c r="AN56" i="54" s="1"/>
  <c r="AP56" i="54" s="1"/>
  <c r="AM55" i="54"/>
  <c r="AN55" i="54" s="1"/>
  <c r="AM54" i="54"/>
  <c r="AN54" i="54" s="1"/>
  <c r="AM53" i="54"/>
  <c r="AN53" i="54" s="1"/>
  <c r="AP53" i="54" s="1"/>
  <c r="AM52" i="54"/>
  <c r="AN52" i="54" s="1"/>
  <c r="AP52" i="54" s="1"/>
  <c r="AM51" i="54"/>
  <c r="AN51" i="54" s="1"/>
  <c r="AM50" i="54"/>
  <c r="AN50" i="54" s="1"/>
  <c r="AM49" i="54"/>
  <c r="AN49" i="54" s="1"/>
  <c r="AP49" i="54" s="1"/>
  <c r="AM48" i="54"/>
  <c r="AN48" i="54" s="1"/>
  <c r="AP48" i="54" s="1"/>
  <c r="AM47" i="54"/>
  <c r="AN47" i="54" s="1"/>
  <c r="AM46" i="54"/>
  <c r="AN46" i="54" s="1"/>
  <c r="AM45" i="54"/>
  <c r="AN45" i="54" s="1"/>
  <c r="AP45" i="54" s="1"/>
  <c r="AM43" i="54"/>
  <c r="AN43" i="54" s="1"/>
  <c r="AP42" i="54"/>
  <c r="AM42" i="54"/>
  <c r="AM41" i="54"/>
  <c r="AN41" i="54" s="1"/>
  <c r="AP40" i="54"/>
  <c r="AM40" i="54"/>
  <c r="AP39" i="54"/>
  <c r="AM39" i="54"/>
  <c r="AP38" i="54"/>
  <c r="AM38" i="54"/>
  <c r="AP37" i="54"/>
  <c r="AM37" i="54"/>
  <c r="AP36" i="54"/>
  <c r="AM36" i="54"/>
  <c r="AP35" i="54"/>
  <c r="AM35" i="54"/>
  <c r="AP34" i="54"/>
  <c r="AM34" i="54"/>
  <c r="AM33" i="54"/>
  <c r="AN33" i="54" s="1"/>
  <c r="AP33" i="54" s="1"/>
  <c r="AM32" i="54"/>
  <c r="AN32" i="54" s="1"/>
  <c r="AP32" i="54" s="1"/>
  <c r="AM31" i="54"/>
  <c r="AM30" i="54"/>
  <c r="AN30" i="54" s="1"/>
  <c r="AP29" i="54"/>
  <c r="AM29" i="54"/>
  <c r="AP28" i="54"/>
  <c r="AM28" i="54"/>
  <c r="AM27" i="54"/>
  <c r="AN27" i="54" s="1"/>
  <c r="AP27" i="54" s="1"/>
  <c r="AM26" i="54"/>
  <c r="AN26" i="54" s="1"/>
  <c r="AP26" i="54" s="1"/>
  <c r="AP25" i="54"/>
  <c r="AM25" i="54"/>
  <c r="AM24" i="54"/>
  <c r="AN24" i="54" s="1"/>
  <c r="AP24" i="54" s="1"/>
  <c r="AP23" i="54"/>
  <c r="AM23" i="54"/>
  <c r="AM22" i="54"/>
  <c r="AN22" i="54" s="1"/>
  <c r="AP21" i="54"/>
  <c r="AM21" i="54"/>
  <c r="AP20" i="54"/>
  <c r="AM20" i="54"/>
  <c r="AP19" i="54"/>
  <c r="AM19" i="54"/>
  <c r="AP18" i="54"/>
  <c r="AM18" i="54"/>
  <c r="AP17" i="54"/>
  <c r="AM17" i="54"/>
  <c r="AP16" i="54"/>
  <c r="AM16" i="54"/>
  <c r="AP15" i="54"/>
  <c r="AM15" i="54"/>
  <c r="AP14" i="54"/>
  <c r="AM14" i="54"/>
  <c r="AM13" i="54"/>
  <c r="AN13" i="54" s="1"/>
  <c r="AP13" i="54" s="1"/>
  <c r="AM12" i="54"/>
  <c r="AN12" i="54" s="1"/>
  <c r="AP12" i="54" s="1"/>
  <c r="AP11" i="54"/>
  <c r="AM11" i="54"/>
  <c r="AP10" i="54"/>
  <c r="AM10" i="54"/>
  <c r="AM9" i="54"/>
  <c r="AN9" i="54" s="1"/>
  <c r="AM98" i="55"/>
  <c r="AO98" i="55" s="1"/>
  <c r="AL97" i="55"/>
  <c r="AM97" i="55" s="1"/>
  <c r="AO97" i="55" s="1"/>
  <c r="AL96" i="55"/>
  <c r="AM96" i="55" s="1"/>
  <c r="AL95" i="55"/>
  <c r="AM95" i="55" s="1"/>
  <c r="AL94" i="55"/>
  <c r="AM94" i="55" s="1"/>
  <c r="AO94" i="55" s="1"/>
  <c r="AL93" i="55"/>
  <c r="AM93" i="55" s="1"/>
  <c r="AO93" i="55" s="1"/>
  <c r="AL92" i="55"/>
  <c r="AM92" i="55" s="1"/>
  <c r="AL91" i="55"/>
  <c r="AM91" i="55" s="1"/>
  <c r="AL90" i="55"/>
  <c r="AM90" i="55" s="1"/>
  <c r="AO90" i="55" s="1"/>
  <c r="AM51" i="55"/>
  <c r="AM50" i="55"/>
  <c r="AO50" i="55" s="1"/>
  <c r="AM49" i="55"/>
  <c r="AO49" i="55" s="1"/>
  <c r="AM48" i="55"/>
  <c r="AL47" i="55"/>
  <c r="AM47" i="55" s="1"/>
  <c r="AM46" i="55"/>
  <c r="AO46" i="55" s="1"/>
  <c r="AM45" i="55"/>
  <c r="AO45" i="55" s="1"/>
  <c r="AM43" i="55"/>
  <c r="AO42" i="55"/>
  <c r="AM41" i="55"/>
  <c r="AO41" i="55" s="1"/>
  <c r="AO40" i="55"/>
  <c r="AO39" i="55"/>
  <c r="AO38" i="55"/>
  <c r="AO37" i="55"/>
  <c r="AO36" i="55"/>
  <c r="AO35" i="55"/>
  <c r="AO34" i="55"/>
  <c r="AM33" i="55"/>
  <c r="AO33" i="55" s="1"/>
  <c r="AM32" i="55"/>
  <c r="AM30" i="55"/>
  <c r="AO30" i="55" s="1"/>
  <c r="AO29" i="55"/>
  <c r="AO28" i="55"/>
  <c r="AM27" i="55"/>
  <c r="AO27" i="55" s="1"/>
  <c r="AM26" i="55"/>
  <c r="AO25" i="55"/>
  <c r="AM24" i="55"/>
  <c r="AO23" i="55"/>
  <c r="AM22" i="55"/>
  <c r="AO21" i="55"/>
  <c r="AO20" i="55"/>
  <c r="AO19" i="55"/>
  <c r="AO18" i="55"/>
  <c r="AO17" i="55"/>
  <c r="AO16" i="55"/>
  <c r="AO15" i="55"/>
  <c r="AO14" i="55"/>
  <c r="AM13" i="55"/>
  <c r="AO13" i="55" s="1"/>
  <c r="AM12" i="55"/>
  <c r="AO11" i="55"/>
  <c r="AO10" i="55"/>
  <c r="AJ81" i="54" l="1"/>
  <c r="AJ85" i="54"/>
  <c r="AJ82" i="54"/>
  <c r="AJ86" i="54"/>
  <c r="AP22" i="54"/>
  <c r="AP30" i="54"/>
  <c r="AP50" i="54"/>
  <c r="AP66" i="54"/>
  <c r="AP82" i="54"/>
  <c r="AP41" i="54"/>
  <c r="AP54" i="54"/>
  <c r="AP70" i="54"/>
  <c r="AP86" i="54"/>
  <c r="AP58" i="54"/>
  <c r="AP74" i="54"/>
  <c r="AP91" i="54"/>
  <c r="AP46" i="54"/>
  <c r="AP62" i="54"/>
  <c r="AP78" i="54"/>
  <c r="AP95" i="54"/>
  <c r="AP47" i="54"/>
  <c r="AP51" i="54"/>
  <c r="AP55" i="54"/>
  <c r="AP59" i="54"/>
  <c r="AP63" i="54"/>
  <c r="AP67" i="54"/>
  <c r="AP71" i="54"/>
  <c r="AP75" i="54"/>
  <c r="AP79" i="54"/>
  <c r="AP83" i="54"/>
  <c r="AP87" i="54"/>
  <c r="AP92" i="54"/>
  <c r="AP96" i="54"/>
  <c r="AP101" i="54"/>
  <c r="AP9" i="54"/>
  <c r="AN102" i="54"/>
  <c r="AM104" i="55"/>
  <c r="AO47" i="55"/>
  <c r="AO48" i="55"/>
  <c r="AO95" i="55"/>
  <c r="AO24" i="55"/>
  <c r="AO91" i="55"/>
  <c r="AO96" i="55"/>
  <c r="AO32" i="55"/>
  <c r="AO12" i="55"/>
  <c r="AO26" i="55"/>
  <c r="AO22" i="55"/>
  <c r="AO51" i="55"/>
  <c r="AO92" i="55"/>
  <c r="AP102" i="54" l="1"/>
  <c r="AO104" i="55"/>
  <c r="C91" i="60" l="1"/>
  <c r="AQ97" i="55"/>
  <c r="AQ96" i="55"/>
  <c r="AQ95" i="55"/>
  <c r="AQ94" i="55"/>
  <c r="AQ93" i="55"/>
  <c r="AQ92" i="55"/>
  <c r="AQ91" i="55"/>
  <c r="AQ90" i="55"/>
  <c r="AR93" i="54"/>
  <c r="AR94" i="54"/>
  <c r="AR95" i="54"/>
  <c r="AR96" i="54"/>
  <c r="AR97" i="54"/>
  <c r="AR52" i="54"/>
  <c r="AR53" i="54"/>
  <c r="AR54" i="54"/>
  <c r="AR55" i="54"/>
  <c r="AR56" i="54"/>
  <c r="AR57" i="54"/>
  <c r="AR58" i="54"/>
  <c r="AR59" i="54"/>
  <c r="AR60" i="54"/>
  <c r="AR61" i="54"/>
  <c r="AR62" i="54"/>
  <c r="AR63" i="54"/>
  <c r="AR64" i="54"/>
  <c r="AR65" i="54"/>
  <c r="AR66" i="54"/>
  <c r="AR67" i="54"/>
  <c r="AR68" i="54"/>
  <c r="AR69" i="54"/>
  <c r="AR70" i="54"/>
  <c r="AR71" i="54"/>
  <c r="AR72" i="54"/>
  <c r="AR73" i="54"/>
  <c r="AR74" i="54"/>
  <c r="AR75" i="54"/>
  <c r="AR76" i="54"/>
  <c r="AR77" i="54"/>
  <c r="AR78" i="54"/>
  <c r="AR79" i="54"/>
  <c r="AR80" i="54"/>
  <c r="AR81" i="54"/>
  <c r="AR82" i="54"/>
  <c r="AR83" i="54"/>
  <c r="AR84" i="54"/>
  <c r="AR85" i="54"/>
  <c r="AR86" i="54"/>
  <c r="AR87" i="54"/>
  <c r="AR88" i="54"/>
  <c r="AR90" i="54"/>
  <c r="AR91" i="54"/>
  <c r="AR92" i="54"/>
  <c r="D4" i="70" l="1"/>
  <c r="F54" i="1" l="1"/>
  <c r="S54" i="1"/>
  <c r="D55" i="1"/>
  <c r="D57" i="1"/>
  <c r="D62" i="1"/>
  <c r="F63" i="1"/>
  <c r="A64" i="1"/>
  <c r="D64" i="1" s="1"/>
  <c r="F65" i="1"/>
  <c r="F66" i="1"/>
  <c r="F68" i="1"/>
  <c r="F70" i="1"/>
  <c r="F71" i="1"/>
  <c r="A72" i="1"/>
  <c r="D72" i="1" s="1"/>
  <c r="F73" i="1"/>
  <c r="F75" i="1"/>
  <c r="F80" i="1"/>
  <c r="F84" i="1"/>
  <c r="F85" i="1"/>
  <c r="F86" i="1"/>
  <c r="F87" i="1"/>
  <c r="P55" i="1"/>
  <c r="P56" i="1"/>
  <c r="A55" i="26"/>
  <c r="P57" i="1"/>
  <c r="A57" i="26"/>
  <c r="A58" i="26"/>
  <c r="P60" i="1"/>
  <c r="P61" i="1"/>
  <c r="A60" i="26"/>
  <c r="P62" i="1"/>
  <c r="A63" i="26"/>
  <c r="P66" i="1"/>
  <c r="S66" i="1" s="1"/>
  <c r="P67" i="1"/>
  <c r="S68" i="1"/>
  <c r="S70" i="1"/>
  <c r="T70" i="1" s="1"/>
  <c r="S71" i="1"/>
  <c r="P72" i="1"/>
  <c r="S73" i="1"/>
  <c r="P74" i="1"/>
  <c r="P77" i="1"/>
  <c r="P78" i="1"/>
  <c r="P80" i="1"/>
  <c r="S80" i="1" s="1"/>
  <c r="P81" i="1"/>
  <c r="A80" i="26"/>
  <c r="P82" i="1"/>
  <c r="A81" i="26"/>
  <c r="P83" i="1"/>
  <c r="A82" i="26"/>
  <c r="S85" i="1"/>
  <c r="S86" i="1"/>
  <c r="P88" i="1"/>
  <c r="K17" i="66"/>
  <c r="K16" i="66"/>
  <c r="K15" i="66"/>
  <c r="K14" i="66"/>
  <c r="K13" i="66"/>
  <c r="K12" i="66"/>
  <c r="K9" i="66"/>
  <c r="K8" i="66"/>
  <c r="K7" i="66"/>
  <c r="K6" i="66"/>
  <c r="K5" i="66"/>
  <c r="K3" i="66"/>
  <c r="K2" i="66"/>
  <c r="K4" i="66"/>
  <c r="L24" i="1"/>
  <c r="C31" i="60"/>
  <c r="L30" i="1"/>
  <c r="C42" i="60"/>
  <c r="C33" i="60"/>
  <c r="L32" i="1"/>
  <c r="C13" i="60"/>
  <c r="C45" i="60"/>
  <c r="Y43" i="26"/>
  <c r="C40" i="60"/>
  <c r="C28" i="60"/>
  <c r="O28" i="60" s="1"/>
  <c r="C21" i="60"/>
  <c r="C27" i="60"/>
  <c r="G2" i="66"/>
  <c r="B3" i="66"/>
  <c r="A3" i="66" s="1"/>
  <c r="B4" i="66"/>
  <c r="A4" i="66" s="1"/>
  <c r="B6" i="66"/>
  <c r="A6" i="66" s="1"/>
  <c r="B7" i="66"/>
  <c r="A7" i="66" s="1"/>
  <c r="B8" i="66"/>
  <c r="A8" i="66" s="1"/>
  <c r="B9" i="66"/>
  <c r="A9" i="66" s="1"/>
  <c r="B16" i="66"/>
  <c r="A16" i="66" s="1"/>
  <c r="B2" i="66"/>
  <c r="A2" i="66" s="1"/>
  <c r="C2" i="66"/>
  <c r="F2" i="66"/>
  <c r="C3" i="66"/>
  <c r="F3" i="66"/>
  <c r="G3" i="66"/>
  <c r="C4" i="66"/>
  <c r="F4" i="66"/>
  <c r="G4" i="66"/>
  <c r="A5" i="66"/>
  <c r="C5" i="66"/>
  <c r="F5" i="66"/>
  <c r="C6" i="66"/>
  <c r="F6" i="66"/>
  <c r="G6" i="66"/>
  <c r="C7" i="66"/>
  <c r="F7" i="66"/>
  <c r="G7" i="66"/>
  <c r="C8" i="66"/>
  <c r="F8" i="66"/>
  <c r="G8" i="66"/>
  <c r="C9" i="66"/>
  <c r="F9" i="66"/>
  <c r="G9" i="66"/>
  <c r="G10" i="66"/>
  <c r="A11" i="66"/>
  <c r="G11" i="66"/>
  <c r="G12" i="66"/>
  <c r="A13" i="66"/>
  <c r="G13" i="66"/>
  <c r="A14" i="66"/>
  <c r="G14" i="66"/>
  <c r="A15" i="66"/>
  <c r="G15" i="66"/>
  <c r="C16" i="66"/>
  <c r="F16" i="66"/>
  <c r="G16" i="66"/>
  <c r="A17" i="66"/>
  <c r="G17" i="66"/>
  <c r="A45" i="26"/>
  <c r="D56" i="1"/>
  <c r="D58" i="1"/>
  <c r="D59" i="1"/>
  <c r="D60" i="1"/>
  <c r="D61" i="1"/>
  <c r="D67" i="1"/>
  <c r="D69" i="1"/>
  <c r="D74" i="1"/>
  <c r="D76" i="1"/>
  <c r="D77" i="1"/>
  <c r="D78" i="1"/>
  <c r="D81" i="1"/>
  <c r="D82" i="1"/>
  <c r="D83" i="1"/>
  <c r="D88" i="1"/>
  <c r="A47" i="26"/>
  <c r="T47" i="26" s="1"/>
  <c r="A48" i="26"/>
  <c r="A49" i="26"/>
  <c r="A51" i="26"/>
  <c r="A76" i="26"/>
  <c r="A77" i="26"/>
  <c r="A11" i="26"/>
  <c r="A23" i="26"/>
  <c r="A29" i="26"/>
  <c r="A31" i="26"/>
  <c r="A40" i="26"/>
  <c r="R40" i="26"/>
  <c r="M40" i="26" s="1"/>
  <c r="C48" i="60"/>
  <c r="C52" i="60"/>
  <c r="C12" i="60"/>
  <c r="C14" i="60"/>
  <c r="C15" i="60"/>
  <c r="C16" i="60"/>
  <c r="C17" i="60"/>
  <c r="C18" i="60"/>
  <c r="C19" i="60"/>
  <c r="C23" i="60"/>
  <c r="A22" i="26"/>
  <c r="C26" i="60"/>
  <c r="C29" i="60"/>
  <c r="C32" i="60"/>
  <c r="C34" i="60"/>
  <c r="C35" i="60"/>
  <c r="C36" i="60"/>
  <c r="C37" i="60"/>
  <c r="C38" i="60"/>
  <c r="C39" i="60"/>
  <c r="C41" i="60"/>
  <c r="C43" i="60"/>
  <c r="B53" i="63"/>
  <c r="C52" i="70" s="1"/>
  <c r="B54" i="63"/>
  <c r="C53" i="70" s="1"/>
  <c r="B55" i="63"/>
  <c r="C54" i="70" s="1"/>
  <c r="B57" i="63"/>
  <c r="C56" i="70" s="1"/>
  <c r="B38" i="63"/>
  <c r="C37" i="70" s="1"/>
  <c r="B39" i="63"/>
  <c r="C38" i="70" s="1"/>
  <c r="B40" i="63"/>
  <c r="C39" i="70" s="1"/>
  <c r="B43" i="63"/>
  <c r="C42" i="70" s="1"/>
  <c r="B46" i="63"/>
  <c r="C45" i="70" s="1"/>
  <c r="B37" i="63"/>
  <c r="C36" i="70" s="1"/>
  <c r="D91" i="1"/>
  <c r="D92" i="1"/>
  <c r="D93" i="1"/>
  <c r="D94" i="1"/>
  <c r="D95" i="1"/>
  <c r="D96" i="1"/>
  <c r="D97" i="1"/>
  <c r="D98" i="1"/>
  <c r="D99" i="1"/>
  <c r="D100" i="1"/>
  <c r="D101" i="1"/>
  <c r="D102" i="1"/>
  <c r="D103" i="1"/>
  <c r="D104" i="1"/>
  <c r="D105" i="1"/>
  <c r="D106" i="1"/>
  <c r="D107" i="1"/>
  <c r="D108" i="1"/>
  <c r="D109" i="1"/>
  <c r="D110" i="1"/>
  <c r="D111" i="1"/>
  <c r="F112" i="1"/>
  <c r="J112" i="1" s="1"/>
  <c r="F113" i="1"/>
  <c r="J113" i="1" s="1"/>
  <c r="F114" i="1"/>
  <c r="J114" i="1" s="1"/>
  <c r="D115" i="1"/>
  <c r="D116" i="1"/>
  <c r="D117" i="1"/>
  <c r="D118" i="1"/>
  <c r="D119" i="1"/>
  <c r="D120" i="1"/>
  <c r="D121" i="1"/>
  <c r="D122" i="1"/>
  <c r="D123" i="1"/>
  <c r="D124" i="1"/>
  <c r="D125" i="1"/>
  <c r="F126" i="1"/>
  <c r="J126" i="1" s="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F157" i="1"/>
  <c r="F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P112" i="1"/>
  <c r="S112" i="1" s="1"/>
  <c r="P113" i="1"/>
  <c r="P114" i="1"/>
  <c r="S114" i="1" s="1"/>
  <c r="P126" i="1"/>
  <c r="D157" i="1"/>
  <c r="P158" i="1"/>
  <c r="A54" i="26"/>
  <c r="A87" i="26"/>
  <c r="J47" i="1"/>
  <c r="F48" i="1"/>
  <c r="F50" i="1"/>
  <c r="F51" i="1"/>
  <c r="P50" i="26" s="1"/>
  <c r="F52" i="1"/>
  <c r="F49" i="1"/>
  <c r="A9" i="26"/>
  <c r="D9" i="26" s="1"/>
  <c r="C11" i="60" s="1"/>
  <c r="A10" i="26"/>
  <c r="A12" i="26"/>
  <c r="A13" i="26"/>
  <c r="A14" i="26"/>
  <c r="A15" i="26"/>
  <c r="A16" i="26"/>
  <c r="A17" i="26"/>
  <c r="A18" i="26"/>
  <c r="A19" i="26"/>
  <c r="A20" i="26"/>
  <c r="D20" i="26" s="1"/>
  <c r="E20" i="26" s="1"/>
  <c r="A21" i="26"/>
  <c r="A24" i="26"/>
  <c r="A25" i="26"/>
  <c r="A26" i="26"/>
  <c r="A28" i="26"/>
  <c r="A30" i="26"/>
  <c r="A32" i="26"/>
  <c r="A33" i="26"/>
  <c r="A34" i="26"/>
  <c r="A35" i="26"/>
  <c r="A37" i="26"/>
  <c r="A38" i="26"/>
  <c r="A39" i="26"/>
  <c r="A41" i="26"/>
  <c r="A42" i="26"/>
  <c r="A43" i="26"/>
  <c r="E46" i="26"/>
  <c r="R45" i="26"/>
  <c r="R46" i="26"/>
  <c r="M46" i="26" s="1"/>
  <c r="R47" i="26"/>
  <c r="M47" i="26" s="1"/>
  <c r="R48" i="26"/>
  <c r="M48" i="26" s="1"/>
  <c r="R49" i="26"/>
  <c r="R50" i="26"/>
  <c r="M50" i="26" s="1"/>
  <c r="R51" i="26"/>
  <c r="M51" i="26" s="1"/>
  <c r="R9" i="26"/>
  <c r="M9" i="26" s="1"/>
  <c r="E10" i="26"/>
  <c r="R10" i="26"/>
  <c r="M10" i="26" s="1"/>
  <c r="R12" i="26"/>
  <c r="M12" i="26" s="1"/>
  <c r="R13" i="26"/>
  <c r="M13" i="26" s="1"/>
  <c r="R14" i="26"/>
  <c r="M14" i="26" s="1"/>
  <c r="R15" i="26"/>
  <c r="M15" i="26" s="1"/>
  <c r="R16" i="26"/>
  <c r="M16" i="26" s="1"/>
  <c r="R17" i="26"/>
  <c r="M17" i="26" s="1"/>
  <c r="R18" i="26"/>
  <c r="M18" i="26" s="1"/>
  <c r="R19" i="26"/>
  <c r="R20" i="26"/>
  <c r="M20" i="26" s="1"/>
  <c r="R21" i="26"/>
  <c r="M21" i="26" s="1"/>
  <c r="K21" i="26" s="1"/>
  <c r="R22" i="26"/>
  <c r="M22" i="26" s="1"/>
  <c r="R24" i="26"/>
  <c r="M24" i="26" s="1"/>
  <c r="R25" i="26"/>
  <c r="M25" i="26" s="1"/>
  <c r="R26" i="26"/>
  <c r="M26" i="26" s="1"/>
  <c r="K26" i="26" s="1"/>
  <c r="C30" i="59" s="1"/>
  <c r="E27" i="26"/>
  <c r="R27" i="26"/>
  <c r="M27" i="26" s="1"/>
  <c r="R28" i="26"/>
  <c r="M28" i="26" s="1"/>
  <c r="R30" i="26"/>
  <c r="M30" i="26" s="1"/>
  <c r="R32" i="26"/>
  <c r="M32" i="26" s="1"/>
  <c r="R33" i="26"/>
  <c r="M33" i="26" s="1"/>
  <c r="E34" i="26"/>
  <c r="R34" i="26"/>
  <c r="M34" i="26" s="1"/>
  <c r="E35" i="26"/>
  <c r="R35" i="26"/>
  <c r="M35" i="26" s="1"/>
  <c r="R36" i="26"/>
  <c r="M36" i="26" s="1"/>
  <c r="E37" i="26"/>
  <c r="R37" i="26"/>
  <c r="M37" i="26" s="1"/>
  <c r="R38" i="26"/>
  <c r="M38" i="26" s="1"/>
  <c r="R39" i="26"/>
  <c r="M39" i="26" s="1"/>
  <c r="R41" i="26"/>
  <c r="M41" i="26" s="1"/>
  <c r="R42" i="26"/>
  <c r="M42" i="26" s="1"/>
  <c r="R43" i="26"/>
  <c r="M43" i="26" s="1"/>
  <c r="B6" i="63"/>
  <c r="C5" i="70" s="1"/>
  <c r="B7" i="63"/>
  <c r="C6" i="70" s="1"/>
  <c r="B8" i="63"/>
  <c r="C7" i="70" s="1"/>
  <c r="B9" i="63"/>
  <c r="C8" i="70" s="1"/>
  <c r="B10" i="63"/>
  <c r="C9" i="70" s="1"/>
  <c r="B11" i="63"/>
  <c r="C10" i="70" s="1"/>
  <c r="B12" i="63"/>
  <c r="C11" i="70" s="1"/>
  <c r="B13" i="63"/>
  <c r="C12" i="70" s="1"/>
  <c r="B14" i="63"/>
  <c r="C13" i="70" s="1"/>
  <c r="B15" i="63"/>
  <c r="C14" i="70" s="1"/>
  <c r="B16" i="63"/>
  <c r="C15" i="70" s="1"/>
  <c r="B17" i="63"/>
  <c r="C16" i="70" s="1"/>
  <c r="B18" i="63"/>
  <c r="C17" i="70" s="1"/>
  <c r="B19" i="63"/>
  <c r="C18" i="70" s="1"/>
  <c r="B20" i="63"/>
  <c r="C19" i="70" s="1"/>
  <c r="B21" i="63"/>
  <c r="C20" i="70" s="1"/>
  <c r="B22" i="63"/>
  <c r="C21" i="70" s="1"/>
  <c r="B23" i="63"/>
  <c r="C22" i="70" s="1"/>
  <c r="B24" i="63"/>
  <c r="C23" i="70" s="1"/>
  <c r="B25" i="63"/>
  <c r="C24" i="70" s="1"/>
  <c r="B26" i="63"/>
  <c r="C25" i="70" s="1"/>
  <c r="B27" i="63"/>
  <c r="C26" i="70" s="1"/>
  <c r="B28" i="63"/>
  <c r="C27" i="70" s="1"/>
  <c r="B29" i="63"/>
  <c r="C28" i="70" s="1"/>
  <c r="B30" i="63"/>
  <c r="C29" i="70" s="1"/>
  <c r="B31" i="63"/>
  <c r="C30" i="70" s="1"/>
  <c r="B32" i="63"/>
  <c r="C31" i="70" s="1"/>
  <c r="B33" i="63"/>
  <c r="C32" i="70" s="1"/>
  <c r="B34" i="63"/>
  <c r="C33" i="70" s="1"/>
  <c r="B5" i="63"/>
  <c r="D10" i="1"/>
  <c r="D11" i="1"/>
  <c r="D12" i="1"/>
  <c r="D13" i="1"/>
  <c r="D41" i="1"/>
  <c r="D14" i="1"/>
  <c r="D15" i="1"/>
  <c r="D20" i="1"/>
  <c r="D16" i="1"/>
  <c r="D39" i="1"/>
  <c r="D17" i="1"/>
  <c r="D18" i="1"/>
  <c r="D19" i="1"/>
  <c r="D43" i="1"/>
  <c r="D21" i="1"/>
  <c r="D22" i="1"/>
  <c r="D24" i="1"/>
  <c r="D23" i="1"/>
  <c r="D26" i="1"/>
  <c r="D27" i="1"/>
  <c r="D30" i="1"/>
  <c r="D29" i="1"/>
  <c r="D31" i="1"/>
  <c r="D32" i="1"/>
  <c r="D34" i="1"/>
  <c r="D33" i="1"/>
  <c r="D35" i="1"/>
  <c r="D36" i="1"/>
  <c r="D37" i="1"/>
  <c r="D38" i="1"/>
  <c r="D40" i="1"/>
  <c r="D42" i="1"/>
  <c r="D44" i="1"/>
  <c r="AQ45" i="55"/>
  <c r="AQ46" i="55"/>
  <c r="AQ49" i="55"/>
  <c r="AQ50" i="55"/>
  <c r="AQ51" i="55"/>
  <c r="B46" i="55"/>
  <c r="B19" i="55"/>
  <c r="B27" i="55"/>
  <c r="AD10" i="55"/>
  <c r="AD11" i="55"/>
  <c r="AD14" i="55"/>
  <c r="AD15" i="55"/>
  <c r="AD16" i="55"/>
  <c r="AD17" i="55"/>
  <c r="AD18" i="55"/>
  <c r="AD19" i="55"/>
  <c r="AD20" i="55"/>
  <c r="AD21" i="55"/>
  <c r="AD23" i="55"/>
  <c r="AD25" i="55"/>
  <c r="AD28" i="55"/>
  <c r="AD29" i="55"/>
  <c r="AD34" i="55"/>
  <c r="AD35" i="55"/>
  <c r="AD36" i="55"/>
  <c r="AD37" i="55"/>
  <c r="AD38" i="55"/>
  <c r="AD39" i="55"/>
  <c r="AD40" i="55"/>
  <c r="AD42" i="55"/>
  <c r="F42" i="60"/>
  <c r="E42" i="60"/>
  <c r="D9" i="56"/>
  <c r="E89" i="56"/>
  <c r="F89" i="56"/>
  <c r="G89" i="56"/>
  <c r="H89" i="56"/>
  <c r="H91" i="56" s="1"/>
  <c r="I89" i="56"/>
  <c r="J89" i="56"/>
  <c r="D45" i="56"/>
  <c r="D46" i="56"/>
  <c r="D47" i="56"/>
  <c r="D48" i="56"/>
  <c r="D49" i="56"/>
  <c r="D50" i="56"/>
  <c r="C50" i="56" s="1"/>
  <c r="D51" i="56"/>
  <c r="D10" i="56"/>
  <c r="C10" i="56" s="1"/>
  <c r="D11" i="56"/>
  <c r="D12" i="56"/>
  <c r="D13" i="56"/>
  <c r="D14" i="56"/>
  <c r="D15" i="56"/>
  <c r="D16" i="56"/>
  <c r="C16" i="56" s="1"/>
  <c r="D17" i="56"/>
  <c r="D18" i="56"/>
  <c r="D19" i="56"/>
  <c r="D20" i="56"/>
  <c r="C20" i="56" s="1"/>
  <c r="D21" i="56"/>
  <c r="D22" i="56"/>
  <c r="D23" i="56"/>
  <c r="D24" i="56"/>
  <c r="D25" i="56"/>
  <c r="D26" i="56"/>
  <c r="C26" i="56" s="1"/>
  <c r="D27" i="56"/>
  <c r="D28" i="56"/>
  <c r="C28" i="56" s="1"/>
  <c r="D29" i="56"/>
  <c r="D30" i="56"/>
  <c r="D31" i="56"/>
  <c r="D32" i="56"/>
  <c r="D33" i="56"/>
  <c r="D34" i="56"/>
  <c r="D35" i="56"/>
  <c r="D36" i="56"/>
  <c r="D37" i="56"/>
  <c r="D38" i="56"/>
  <c r="D39" i="56"/>
  <c r="C39" i="56" s="1"/>
  <c r="D40" i="56"/>
  <c r="D41" i="56"/>
  <c r="D42" i="56"/>
  <c r="D43" i="56"/>
  <c r="K90" i="56"/>
  <c r="K53" i="56"/>
  <c r="K54" i="56"/>
  <c r="K55" i="56"/>
  <c r="K56" i="56"/>
  <c r="K57" i="56"/>
  <c r="K58" i="56"/>
  <c r="K59" i="56"/>
  <c r="K60" i="56"/>
  <c r="K61" i="56"/>
  <c r="K62" i="56"/>
  <c r="K63" i="56"/>
  <c r="K64" i="56"/>
  <c r="K65" i="56"/>
  <c r="K66" i="56"/>
  <c r="K67" i="56"/>
  <c r="K68" i="56"/>
  <c r="K69" i="56"/>
  <c r="K70" i="56"/>
  <c r="K71" i="56"/>
  <c r="K72" i="56"/>
  <c r="K73" i="56"/>
  <c r="K74" i="56"/>
  <c r="K75" i="56"/>
  <c r="K76" i="56"/>
  <c r="K77" i="56"/>
  <c r="K78" i="56"/>
  <c r="K79" i="56"/>
  <c r="K80" i="56"/>
  <c r="K81" i="56"/>
  <c r="K82" i="56"/>
  <c r="C82" i="56" s="1"/>
  <c r="K83" i="56"/>
  <c r="K84" i="56"/>
  <c r="K85" i="56"/>
  <c r="K86" i="56"/>
  <c r="K87" i="56"/>
  <c r="K88" i="56"/>
  <c r="K45" i="56"/>
  <c r="K46" i="56"/>
  <c r="K47" i="56"/>
  <c r="K48" i="56"/>
  <c r="K49" i="56"/>
  <c r="K50" i="56"/>
  <c r="K51" i="56"/>
  <c r="K9" i="56"/>
  <c r="K10" i="56"/>
  <c r="K11" i="56"/>
  <c r="K12" i="56"/>
  <c r="K13" i="56"/>
  <c r="K14" i="56"/>
  <c r="K15" i="56"/>
  <c r="K16" i="56"/>
  <c r="K17" i="56"/>
  <c r="K18" i="56"/>
  <c r="K19" i="56"/>
  <c r="K20" i="56"/>
  <c r="K21" i="56"/>
  <c r="K22" i="56"/>
  <c r="K23" i="56"/>
  <c r="K24" i="56"/>
  <c r="K25" i="56"/>
  <c r="K26" i="56"/>
  <c r="K27" i="56"/>
  <c r="K28" i="56"/>
  <c r="K29" i="56"/>
  <c r="K30" i="56"/>
  <c r="K31" i="56"/>
  <c r="K32" i="56"/>
  <c r="K33" i="56"/>
  <c r="K34" i="56"/>
  <c r="K35" i="56"/>
  <c r="K36" i="56"/>
  <c r="K37" i="56"/>
  <c r="K38" i="56"/>
  <c r="K39" i="56"/>
  <c r="K40" i="56"/>
  <c r="K41" i="56"/>
  <c r="K42" i="56"/>
  <c r="K43" i="56"/>
  <c r="C43" i="56" s="1"/>
  <c r="I42" i="60"/>
  <c r="H42" i="60"/>
  <c r="D53" i="56"/>
  <c r="D54" i="56"/>
  <c r="D55" i="56"/>
  <c r="C55" i="56" s="1"/>
  <c r="D56" i="56"/>
  <c r="D57" i="56"/>
  <c r="D58" i="56"/>
  <c r="D59" i="56"/>
  <c r="C59" i="56" s="1"/>
  <c r="D60" i="56"/>
  <c r="C60" i="56" s="1"/>
  <c r="D61" i="56"/>
  <c r="D62" i="56"/>
  <c r="D63" i="56"/>
  <c r="C63" i="56" s="1"/>
  <c r="D64" i="56"/>
  <c r="D65" i="56"/>
  <c r="D66" i="56"/>
  <c r="D67" i="56"/>
  <c r="C67" i="56" s="1"/>
  <c r="D68" i="56"/>
  <c r="C68" i="56" s="1"/>
  <c r="D69" i="56"/>
  <c r="D70" i="56"/>
  <c r="D71" i="56"/>
  <c r="C71" i="56" s="1"/>
  <c r="D72" i="56"/>
  <c r="D73" i="56"/>
  <c r="D74" i="56"/>
  <c r="D75" i="56"/>
  <c r="C75" i="56" s="1"/>
  <c r="D76" i="56"/>
  <c r="C76" i="56" s="1"/>
  <c r="D77" i="56"/>
  <c r="D78" i="56"/>
  <c r="D79" i="56"/>
  <c r="C79" i="56" s="1"/>
  <c r="D80" i="56"/>
  <c r="D81" i="56"/>
  <c r="D82" i="56"/>
  <c r="D83" i="56"/>
  <c r="C83" i="56" s="1"/>
  <c r="D84" i="56"/>
  <c r="C84" i="56" s="1"/>
  <c r="D85" i="56"/>
  <c r="D86" i="56"/>
  <c r="C86" i="56" s="1"/>
  <c r="D87" i="56"/>
  <c r="C87" i="56" s="1"/>
  <c r="D88" i="56"/>
  <c r="B57" i="60"/>
  <c r="C57" i="56"/>
  <c r="B61" i="60"/>
  <c r="D61" i="60" s="1"/>
  <c r="B68" i="60"/>
  <c r="D68" i="60" s="1"/>
  <c r="B70" i="60"/>
  <c r="D70" i="60" s="1"/>
  <c r="C72" i="56"/>
  <c r="C73" i="56"/>
  <c r="B80" i="60"/>
  <c r="D80" i="60" s="1"/>
  <c r="B83" i="60"/>
  <c r="D83" i="60" s="1"/>
  <c r="B85" i="60"/>
  <c r="D85" i="60" s="1"/>
  <c r="B86" i="60"/>
  <c r="D86" i="60" s="1"/>
  <c r="B87" i="60"/>
  <c r="D87" i="60" s="1"/>
  <c r="B88" i="60"/>
  <c r="D88" i="60" s="1"/>
  <c r="B89" i="60"/>
  <c r="D89" i="60" s="1"/>
  <c r="D90" i="56"/>
  <c r="E101" i="60"/>
  <c r="B102" i="60"/>
  <c r="M19" i="26"/>
  <c r="M45" i="26"/>
  <c r="M49" i="26"/>
  <c r="B59" i="59"/>
  <c r="B63" i="59"/>
  <c r="B70" i="59"/>
  <c r="B72" i="59"/>
  <c r="B82" i="59"/>
  <c r="B85" i="59"/>
  <c r="B87" i="59"/>
  <c r="B88" i="59"/>
  <c r="B89" i="59"/>
  <c r="B90" i="59"/>
  <c r="B91" i="59"/>
  <c r="D94" i="59"/>
  <c r="B95" i="59"/>
  <c r="B58" i="58"/>
  <c r="B62" i="58"/>
  <c r="B69" i="58"/>
  <c r="B71" i="58"/>
  <c r="B81" i="58"/>
  <c r="B84" i="58"/>
  <c r="B86" i="58"/>
  <c r="B87" i="58"/>
  <c r="B88" i="58"/>
  <c r="B89" i="58"/>
  <c r="B90" i="58"/>
  <c r="B94" i="58"/>
  <c r="E44" i="56"/>
  <c r="F44" i="56"/>
  <c r="G44" i="56"/>
  <c r="H44" i="56"/>
  <c r="I44" i="56"/>
  <c r="J44" i="56"/>
  <c r="L44" i="56"/>
  <c r="M44" i="56"/>
  <c r="E52" i="56"/>
  <c r="F52" i="56"/>
  <c r="G52" i="56"/>
  <c r="H52" i="56"/>
  <c r="I52" i="56"/>
  <c r="J52" i="56"/>
  <c r="L52" i="56"/>
  <c r="M52" i="56"/>
  <c r="B57" i="57"/>
  <c r="B61" i="57"/>
  <c r="B68" i="57"/>
  <c r="B70" i="57"/>
  <c r="B80" i="57"/>
  <c r="B83" i="57"/>
  <c r="B85" i="57"/>
  <c r="B86" i="57"/>
  <c r="B87" i="57"/>
  <c r="B88" i="57"/>
  <c r="B89" i="57"/>
  <c r="L89" i="56"/>
  <c r="M89" i="56"/>
  <c r="B102" i="57"/>
  <c r="E8" i="56"/>
  <c r="F8" i="56"/>
  <c r="G8" i="56"/>
  <c r="H8" i="56"/>
  <c r="I8" i="56"/>
  <c r="J8" i="56"/>
  <c r="L8" i="56"/>
  <c r="M8" i="56"/>
  <c r="B55" i="56"/>
  <c r="B59" i="56"/>
  <c r="B66" i="56"/>
  <c r="B68" i="56"/>
  <c r="B78" i="56"/>
  <c r="B81" i="56"/>
  <c r="B83" i="56"/>
  <c r="B84" i="56"/>
  <c r="B85" i="56"/>
  <c r="B86" i="56"/>
  <c r="B87" i="56"/>
  <c r="A27" i="55"/>
  <c r="B50" i="55"/>
  <c r="C55" i="55"/>
  <c r="C59" i="55"/>
  <c r="C66" i="55"/>
  <c r="C68" i="55"/>
  <c r="C78" i="55"/>
  <c r="C81" i="55"/>
  <c r="C83" i="55"/>
  <c r="C84" i="55"/>
  <c r="C85" i="55"/>
  <c r="C86" i="55"/>
  <c r="C87" i="55"/>
  <c r="AR45" i="54"/>
  <c r="AR46" i="54"/>
  <c r="AR49" i="54"/>
  <c r="AR50" i="54"/>
  <c r="AR51" i="54"/>
  <c r="AD10" i="54"/>
  <c r="AD11" i="54"/>
  <c r="AD14" i="54"/>
  <c r="AD15" i="54"/>
  <c r="AD16" i="54"/>
  <c r="AD17" i="54"/>
  <c r="AD18" i="54"/>
  <c r="AD19" i="54"/>
  <c r="AD20" i="54"/>
  <c r="AD21" i="54"/>
  <c r="AD23" i="54"/>
  <c r="AD25" i="54"/>
  <c r="AD28" i="54"/>
  <c r="AD29" i="54"/>
  <c r="AD34" i="54"/>
  <c r="AD35" i="54"/>
  <c r="AD36" i="54"/>
  <c r="AD37" i="54"/>
  <c r="AD38" i="54"/>
  <c r="AD39" i="54"/>
  <c r="AD40" i="54"/>
  <c r="AD42" i="54"/>
  <c r="C55" i="54"/>
  <c r="C59" i="54"/>
  <c r="C66" i="54"/>
  <c r="C68" i="54"/>
  <c r="C78" i="54"/>
  <c r="C81" i="54"/>
  <c r="C83" i="54"/>
  <c r="C84" i="54"/>
  <c r="C85" i="54"/>
  <c r="C86" i="54"/>
  <c r="C87" i="54"/>
  <c r="L98" i="26"/>
  <c r="L99" i="26" s="1"/>
  <c r="L101" i="26"/>
  <c r="L102" i="26" s="1"/>
  <c r="Y28" i="26"/>
  <c r="A89" i="26"/>
  <c r="U44" i="26"/>
  <c r="N90" i="1"/>
  <c r="O90" i="1"/>
  <c r="T90" i="1"/>
  <c r="A90" i="26"/>
  <c r="D46" i="1"/>
  <c r="D48" i="1"/>
  <c r="D49" i="1"/>
  <c r="D50" i="1"/>
  <c r="D51" i="1"/>
  <c r="D52" i="1"/>
  <c r="D25" i="1"/>
  <c r="T45" i="1"/>
  <c r="K45" i="1"/>
  <c r="N53" i="1"/>
  <c r="N45" i="1"/>
  <c r="N9" i="1"/>
  <c r="I90" i="1"/>
  <c r="G52" i="26"/>
  <c r="A92" i="26"/>
  <c r="A91" i="26"/>
  <c r="Y24" i="26"/>
  <c r="Y26" i="26"/>
  <c r="Y38" i="26"/>
  <c r="Y40" i="26"/>
  <c r="Y42" i="26"/>
  <c r="Y46" i="26"/>
  <c r="P47" i="1"/>
  <c r="E12" i="3"/>
  <c r="E15" i="3"/>
  <c r="J28" i="1"/>
  <c r="Y25" i="26"/>
  <c r="D90" i="1"/>
  <c r="D219" i="1"/>
  <c r="D220" i="1"/>
  <c r="P52" i="1"/>
  <c r="F229" i="1"/>
  <c r="S87" i="1"/>
  <c r="T87" i="1" s="1"/>
  <c r="S84" i="1"/>
  <c r="T84" i="1" s="1"/>
  <c r="B71" i="1"/>
  <c r="B65" i="1"/>
  <c r="A65" i="1"/>
  <c r="A63" i="1"/>
  <c r="B62" i="1"/>
  <c r="B57" i="1"/>
  <c r="B55" i="1"/>
  <c r="P51" i="1"/>
  <c r="P50" i="1"/>
  <c r="P49" i="1"/>
  <c r="P48" i="1"/>
  <c r="B47" i="1"/>
  <c r="O45" i="1"/>
  <c r="O9" i="1"/>
  <c r="S63" i="1"/>
  <c r="T63" i="1" s="1"/>
  <c r="Y34" i="26"/>
  <c r="Y18" i="26"/>
  <c r="Y29" i="26"/>
  <c r="Y19" i="26"/>
  <c r="Y9" i="26"/>
  <c r="Y23" i="26"/>
  <c r="D28" i="26" l="1"/>
  <c r="E28" i="26" s="1"/>
  <c r="P47" i="26"/>
  <c r="C81" i="56"/>
  <c r="C65" i="56"/>
  <c r="D44" i="56"/>
  <c r="C88" i="56"/>
  <c r="C80" i="56"/>
  <c r="C64" i="56"/>
  <c r="C56" i="56"/>
  <c r="C19" i="56"/>
  <c r="C85" i="56"/>
  <c r="C77" i="56"/>
  <c r="C69" i="56"/>
  <c r="C61" i="56"/>
  <c r="C53" i="56"/>
  <c r="M91" i="56"/>
  <c r="C31" i="56"/>
  <c r="C38" i="56"/>
  <c r="F91" i="56"/>
  <c r="T49" i="26"/>
  <c r="D49" i="26"/>
  <c r="C51" i="60" s="1"/>
  <c r="C22" i="60"/>
  <c r="C47" i="56"/>
  <c r="D89" i="56"/>
  <c r="J91" i="56"/>
  <c r="C42" i="56"/>
  <c r="C34" i="56"/>
  <c r="C51" i="56"/>
  <c r="K89" i="56"/>
  <c r="I91" i="56"/>
  <c r="C15" i="56"/>
  <c r="C30" i="60"/>
  <c r="D57" i="60"/>
  <c r="E6" i="66"/>
  <c r="C4" i="70"/>
  <c r="I12" i="70" s="1"/>
  <c r="E8" i="66"/>
  <c r="E7" i="66"/>
  <c r="E2" i="66"/>
  <c r="E4" i="66"/>
  <c r="P51" i="26"/>
  <c r="L9" i="1"/>
  <c r="L220" i="1" s="1"/>
  <c r="P53" i="1"/>
  <c r="P49" i="26"/>
  <c r="C35" i="56"/>
  <c r="C27" i="56"/>
  <c r="C23" i="56"/>
  <c r="K44" i="56"/>
  <c r="C78" i="56"/>
  <c r="C74" i="56"/>
  <c r="C70" i="56"/>
  <c r="C66" i="56"/>
  <c r="C62" i="56"/>
  <c r="C58" i="56"/>
  <c r="C54" i="56"/>
  <c r="C30" i="56"/>
  <c r="C49" i="56"/>
  <c r="C45" i="56"/>
  <c r="E9" i="66"/>
  <c r="N220" i="1"/>
  <c r="C90" i="56"/>
  <c r="C32" i="56"/>
  <c r="M89" i="26"/>
  <c r="E91" i="56"/>
  <c r="L91" i="56"/>
  <c r="C37" i="56"/>
  <c r="D8" i="56"/>
  <c r="C25" i="56"/>
  <c r="C21" i="56"/>
  <c r="C13" i="56"/>
  <c r="C48" i="56"/>
  <c r="G91" i="56"/>
  <c r="G42" i="60"/>
  <c r="H50" i="1"/>
  <c r="R50" i="1"/>
  <c r="Q50" i="1"/>
  <c r="H215" i="1"/>
  <c r="R215" i="1"/>
  <c r="G215" i="1"/>
  <c r="F215" i="1" s="1"/>
  <c r="Q215" i="1"/>
  <c r="P215" i="1" s="1"/>
  <c r="H211" i="1"/>
  <c r="R211" i="1"/>
  <c r="G211" i="1"/>
  <c r="F211" i="1" s="1"/>
  <c r="Q211" i="1"/>
  <c r="P211" i="1" s="1"/>
  <c r="H207" i="1"/>
  <c r="R207" i="1"/>
  <c r="G207" i="1"/>
  <c r="F207" i="1" s="1"/>
  <c r="Q207" i="1"/>
  <c r="P207" i="1" s="1"/>
  <c r="Q198" i="1"/>
  <c r="P198" i="1" s="1"/>
  <c r="H198" i="1"/>
  <c r="R198" i="1"/>
  <c r="G198" i="1"/>
  <c r="F198" i="1" s="1"/>
  <c r="Q154" i="1"/>
  <c r="P154" i="1" s="1"/>
  <c r="H154" i="1"/>
  <c r="R154" i="1"/>
  <c r="G154" i="1"/>
  <c r="F154" i="1" s="1"/>
  <c r="Q150" i="1"/>
  <c r="P150" i="1" s="1"/>
  <c r="H150" i="1"/>
  <c r="R150" i="1"/>
  <c r="G150" i="1"/>
  <c r="F150" i="1" s="1"/>
  <c r="Q146" i="1"/>
  <c r="P146" i="1" s="1"/>
  <c r="H146" i="1"/>
  <c r="R146" i="1"/>
  <c r="G146" i="1"/>
  <c r="F146" i="1" s="1"/>
  <c r="Q142" i="1"/>
  <c r="P142" i="1" s="1"/>
  <c r="H142" i="1"/>
  <c r="R142" i="1"/>
  <c r="G142" i="1"/>
  <c r="F142" i="1" s="1"/>
  <c r="Q138" i="1"/>
  <c r="P138" i="1" s="1"/>
  <c r="H138" i="1"/>
  <c r="R138" i="1"/>
  <c r="G138" i="1"/>
  <c r="F138" i="1" s="1"/>
  <c r="Q134" i="1"/>
  <c r="P134" i="1" s="1"/>
  <c r="H134" i="1"/>
  <c r="R134" i="1"/>
  <c r="G134" i="1"/>
  <c r="F134" i="1" s="1"/>
  <c r="Q130" i="1"/>
  <c r="P130" i="1" s="1"/>
  <c r="H130" i="1"/>
  <c r="G130" i="1"/>
  <c r="F130" i="1" s="1"/>
  <c r="R130" i="1"/>
  <c r="Q122" i="1"/>
  <c r="P122" i="1" s="1"/>
  <c r="R122" i="1"/>
  <c r="H122" i="1"/>
  <c r="G122" i="1"/>
  <c r="F122" i="1" s="1"/>
  <c r="Q118" i="1"/>
  <c r="P118" i="1" s="1"/>
  <c r="R118" i="1"/>
  <c r="H118" i="1"/>
  <c r="G118" i="1"/>
  <c r="F118" i="1" s="1"/>
  <c r="Q110" i="1"/>
  <c r="H110" i="1"/>
  <c r="G110" i="1"/>
  <c r="F110" i="1" s="1"/>
  <c r="R110" i="1"/>
  <c r="Q106" i="1"/>
  <c r="P106" i="1" s="1"/>
  <c r="H106" i="1"/>
  <c r="G106" i="1"/>
  <c r="F106" i="1" s="1"/>
  <c r="R106" i="1"/>
  <c r="Q102" i="1"/>
  <c r="P102" i="1" s="1"/>
  <c r="H102" i="1"/>
  <c r="G102" i="1"/>
  <c r="F102" i="1" s="1"/>
  <c r="R102" i="1"/>
  <c r="Q98" i="1"/>
  <c r="P98" i="1" s="1"/>
  <c r="H98" i="1"/>
  <c r="G98" i="1"/>
  <c r="F98" i="1" s="1"/>
  <c r="R98" i="1"/>
  <c r="Q94" i="1"/>
  <c r="P94" i="1" s="1"/>
  <c r="H94" i="1"/>
  <c r="G94" i="1"/>
  <c r="F94" i="1" s="1"/>
  <c r="R94" i="1"/>
  <c r="T22" i="26"/>
  <c r="P22" i="26"/>
  <c r="D22" i="26"/>
  <c r="C24" i="60" s="1"/>
  <c r="T40" i="26"/>
  <c r="P40" i="26"/>
  <c r="T11" i="26"/>
  <c r="P11" i="26"/>
  <c r="R83" i="1"/>
  <c r="S83" i="1" s="1"/>
  <c r="G83" i="1"/>
  <c r="H83" i="1"/>
  <c r="Q83" i="1"/>
  <c r="R77" i="1"/>
  <c r="S77" i="1" s="1"/>
  <c r="G77" i="1"/>
  <c r="F77" i="1" s="1"/>
  <c r="H77" i="1"/>
  <c r="Q77" i="1"/>
  <c r="H67" i="1"/>
  <c r="G67" i="1"/>
  <c r="F67" i="1" s="1"/>
  <c r="R67" i="1"/>
  <c r="S67" i="1" s="1"/>
  <c r="Q67" i="1"/>
  <c r="R58" i="1"/>
  <c r="G58" i="1"/>
  <c r="F58" i="1" s="1"/>
  <c r="H58" i="1"/>
  <c r="Q58" i="1"/>
  <c r="Q64" i="1"/>
  <c r="H64" i="1"/>
  <c r="G64" i="1"/>
  <c r="F64" i="1" s="1"/>
  <c r="R64" i="1"/>
  <c r="Q55" i="1"/>
  <c r="H55" i="1"/>
  <c r="G55" i="1"/>
  <c r="F55" i="1" s="1"/>
  <c r="R55" i="1"/>
  <c r="Q25" i="1"/>
  <c r="G25" i="1"/>
  <c r="T25" i="1"/>
  <c r="H25" i="1"/>
  <c r="R25" i="1"/>
  <c r="S25" i="1" s="1"/>
  <c r="R49" i="1"/>
  <c r="Q49" i="1"/>
  <c r="H49" i="1"/>
  <c r="R42" i="1"/>
  <c r="S42" i="1" s="1"/>
  <c r="H42" i="1"/>
  <c r="J42" i="1" s="1"/>
  <c r="T42" i="1"/>
  <c r="G42" i="1"/>
  <c r="Q42" i="1"/>
  <c r="R36" i="1"/>
  <c r="S36" i="1" s="1"/>
  <c r="H36" i="1"/>
  <c r="J36" i="1" s="1"/>
  <c r="T36" i="1"/>
  <c r="G36" i="1"/>
  <c r="Q36" i="1"/>
  <c r="T32" i="1"/>
  <c r="R32" i="1"/>
  <c r="H32" i="1"/>
  <c r="Q32" i="1"/>
  <c r="G32" i="1"/>
  <c r="Q27" i="1"/>
  <c r="G27" i="1"/>
  <c r="T27" i="1"/>
  <c r="H27" i="1"/>
  <c r="R27" i="1"/>
  <c r="Q22" i="1"/>
  <c r="G22" i="1"/>
  <c r="T22" i="1"/>
  <c r="R22" i="1"/>
  <c r="S22" i="1" s="1"/>
  <c r="H22" i="1"/>
  <c r="J22" i="1" s="1"/>
  <c r="Q18" i="1"/>
  <c r="G18" i="1"/>
  <c r="T18" i="1"/>
  <c r="R18" i="1"/>
  <c r="S18" i="1" s="1"/>
  <c r="H18" i="1"/>
  <c r="J18" i="1" s="1"/>
  <c r="Q20" i="1"/>
  <c r="G20" i="1"/>
  <c r="T20" i="1"/>
  <c r="R20" i="1"/>
  <c r="S20" i="1" s="1"/>
  <c r="H20" i="1"/>
  <c r="J20" i="1" s="1"/>
  <c r="Q13" i="1"/>
  <c r="G13" i="1"/>
  <c r="T13" i="1"/>
  <c r="H13" i="1"/>
  <c r="J13" i="1" s="1"/>
  <c r="R13" i="1"/>
  <c r="S13" i="1" s="1"/>
  <c r="T39" i="26"/>
  <c r="P39" i="26"/>
  <c r="T34" i="26"/>
  <c r="P34" i="26"/>
  <c r="T28" i="26"/>
  <c r="P28" i="26"/>
  <c r="T21" i="26"/>
  <c r="P21" i="26"/>
  <c r="T17" i="26"/>
  <c r="P17" i="26"/>
  <c r="T13" i="26"/>
  <c r="P13" i="26"/>
  <c r="Q218" i="1"/>
  <c r="P218" i="1" s="1"/>
  <c r="H218" i="1"/>
  <c r="R218" i="1"/>
  <c r="G218" i="1"/>
  <c r="F218" i="1" s="1"/>
  <c r="Q214" i="1"/>
  <c r="P214" i="1" s="1"/>
  <c r="H214" i="1"/>
  <c r="R214" i="1"/>
  <c r="G214" i="1"/>
  <c r="F214" i="1" s="1"/>
  <c r="Q210" i="1"/>
  <c r="P210" i="1" s="1"/>
  <c r="H210" i="1"/>
  <c r="R210" i="1"/>
  <c r="G210" i="1"/>
  <c r="F210" i="1" s="1"/>
  <c r="Q206" i="1"/>
  <c r="P206" i="1" s="1"/>
  <c r="H206" i="1"/>
  <c r="R206" i="1"/>
  <c r="G206" i="1"/>
  <c r="F206" i="1" s="1"/>
  <c r="Q202" i="1"/>
  <c r="P202" i="1" s="1"/>
  <c r="H202" i="1"/>
  <c r="R202" i="1"/>
  <c r="G202" i="1"/>
  <c r="F202" i="1" s="1"/>
  <c r="Q194" i="1"/>
  <c r="P194" i="1" s="1"/>
  <c r="H194" i="1"/>
  <c r="R194" i="1"/>
  <c r="G194" i="1"/>
  <c r="F194" i="1" s="1"/>
  <c r="Q190" i="1"/>
  <c r="P190" i="1" s="1"/>
  <c r="H190" i="1"/>
  <c r="R190" i="1"/>
  <c r="G190" i="1"/>
  <c r="F190" i="1" s="1"/>
  <c r="Q186" i="1"/>
  <c r="P186" i="1" s="1"/>
  <c r="H186" i="1"/>
  <c r="R186" i="1"/>
  <c r="G186" i="1"/>
  <c r="F186" i="1" s="1"/>
  <c r="Q182" i="1"/>
  <c r="P182" i="1" s="1"/>
  <c r="H182" i="1"/>
  <c r="R182" i="1"/>
  <c r="G182" i="1"/>
  <c r="F182" i="1" s="1"/>
  <c r="Q178" i="1"/>
  <c r="P178" i="1" s="1"/>
  <c r="H178" i="1"/>
  <c r="R178" i="1"/>
  <c r="G178" i="1"/>
  <c r="F178" i="1" s="1"/>
  <c r="Q174" i="1"/>
  <c r="P174" i="1" s="1"/>
  <c r="H174" i="1"/>
  <c r="R174" i="1"/>
  <c r="G174" i="1"/>
  <c r="F174" i="1" s="1"/>
  <c r="Q170" i="1"/>
  <c r="P170" i="1" s="1"/>
  <c r="H170" i="1"/>
  <c r="R170" i="1"/>
  <c r="G170" i="1"/>
  <c r="F170" i="1" s="1"/>
  <c r="Q166" i="1"/>
  <c r="P166" i="1" s="1"/>
  <c r="H166" i="1"/>
  <c r="R166" i="1"/>
  <c r="G166" i="1"/>
  <c r="F166" i="1" s="1"/>
  <c r="Q162" i="1"/>
  <c r="P162" i="1" s="1"/>
  <c r="H162" i="1"/>
  <c r="R162" i="1"/>
  <c r="G162" i="1"/>
  <c r="F162" i="1" s="1"/>
  <c r="Q52" i="1"/>
  <c r="R52" i="1"/>
  <c r="S52" i="1" s="1"/>
  <c r="H52" i="1"/>
  <c r="J52" i="1" s="1"/>
  <c r="Q48" i="1"/>
  <c r="R48" i="1"/>
  <c r="S48" i="1" s="1"/>
  <c r="H48" i="1"/>
  <c r="J48" i="1" s="1"/>
  <c r="R40" i="1"/>
  <c r="S40" i="1" s="1"/>
  <c r="H40" i="1"/>
  <c r="J40" i="1" s="1"/>
  <c r="T40" i="1"/>
  <c r="G40" i="1"/>
  <c r="Q40" i="1"/>
  <c r="R35" i="1"/>
  <c r="S35" i="1" s="1"/>
  <c r="H35" i="1"/>
  <c r="J35" i="1" s="1"/>
  <c r="T35" i="1"/>
  <c r="G35" i="1"/>
  <c r="Q35" i="1"/>
  <c r="T31" i="1"/>
  <c r="H31" i="1"/>
  <c r="R31" i="1"/>
  <c r="G31" i="1"/>
  <c r="F31" i="1" s="1"/>
  <c r="Q31" i="1"/>
  <c r="P31" i="1" s="1"/>
  <c r="Q26" i="1"/>
  <c r="G26" i="1"/>
  <c r="T26" i="1"/>
  <c r="H26" i="1"/>
  <c r="R26" i="1"/>
  <c r="Q21" i="1"/>
  <c r="G21" i="1"/>
  <c r="T21" i="1"/>
  <c r="H21" i="1"/>
  <c r="J21" i="1" s="1"/>
  <c r="R21" i="1"/>
  <c r="S21" i="1" s="1"/>
  <c r="Q17" i="1"/>
  <c r="G17" i="1"/>
  <c r="T17" i="1"/>
  <c r="H17" i="1"/>
  <c r="J17" i="1" s="1"/>
  <c r="R17" i="1"/>
  <c r="S17" i="1" s="1"/>
  <c r="Q15" i="1"/>
  <c r="G15" i="1"/>
  <c r="T15" i="1"/>
  <c r="H15" i="1"/>
  <c r="J15" i="1" s="1"/>
  <c r="R15" i="1"/>
  <c r="S15" i="1" s="1"/>
  <c r="Q12" i="1"/>
  <c r="G12" i="1"/>
  <c r="T12" i="1"/>
  <c r="R12" i="1"/>
  <c r="S12" i="1" s="1"/>
  <c r="H12" i="1"/>
  <c r="J12" i="1" s="1"/>
  <c r="T43" i="26"/>
  <c r="P43" i="26"/>
  <c r="T38" i="26"/>
  <c r="P38" i="26"/>
  <c r="T33" i="26"/>
  <c r="P33" i="26"/>
  <c r="P26" i="26"/>
  <c r="T26" i="26"/>
  <c r="P20" i="26"/>
  <c r="T20" i="26"/>
  <c r="T16" i="26"/>
  <c r="P16" i="26"/>
  <c r="T12" i="26"/>
  <c r="P12" i="26"/>
  <c r="R217" i="1"/>
  <c r="G217" i="1"/>
  <c r="Q217" i="1"/>
  <c r="P217" i="1" s="1"/>
  <c r="H217" i="1"/>
  <c r="R213" i="1"/>
  <c r="G213" i="1"/>
  <c r="F213" i="1" s="1"/>
  <c r="Q213" i="1"/>
  <c r="P213" i="1" s="1"/>
  <c r="H213" i="1"/>
  <c r="R209" i="1"/>
  <c r="G209" i="1"/>
  <c r="F209" i="1" s="1"/>
  <c r="Q209" i="1"/>
  <c r="P209" i="1" s="1"/>
  <c r="H209" i="1"/>
  <c r="R205" i="1"/>
  <c r="G205" i="1"/>
  <c r="F205" i="1" s="1"/>
  <c r="Q205" i="1"/>
  <c r="P205" i="1" s="1"/>
  <c r="H205" i="1"/>
  <c r="R201" i="1"/>
  <c r="G201" i="1"/>
  <c r="F201" i="1" s="1"/>
  <c r="Q201" i="1"/>
  <c r="P201" i="1" s="1"/>
  <c r="H201" i="1"/>
  <c r="R197" i="1"/>
  <c r="G197" i="1"/>
  <c r="F197" i="1" s="1"/>
  <c r="Q197" i="1"/>
  <c r="P197" i="1" s="1"/>
  <c r="H197" i="1"/>
  <c r="R193" i="1"/>
  <c r="G193" i="1"/>
  <c r="F193" i="1" s="1"/>
  <c r="Q193" i="1"/>
  <c r="P193" i="1" s="1"/>
  <c r="H193" i="1"/>
  <c r="R189" i="1"/>
  <c r="G189" i="1"/>
  <c r="F189" i="1" s="1"/>
  <c r="Q189" i="1"/>
  <c r="P189" i="1" s="1"/>
  <c r="H189" i="1"/>
  <c r="R185" i="1"/>
  <c r="G185" i="1"/>
  <c r="F185" i="1" s="1"/>
  <c r="Q185" i="1"/>
  <c r="P185" i="1" s="1"/>
  <c r="H185" i="1"/>
  <c r="R181" i="1"/>
  <c r="G181" i="1"/>
  <c r="F181" i="1" s="1"/>
  <c r="Q181" i="1"/>
  <c r="P181" i="1" s="1"/>
  <c r="H181" i="1"/>
  <c r="R177" i="1"/>
  <c r="G177" i="1"/>
  <c r="F177" i="1" s="1"/>
  <c r="Q177" i="1"/>
  <c r="P177" i="1" s="1"/>
  <c r="H177" i="1"/>
  <c r="R173" i="1"/>
  <c r="G173" i="1"/>
  <c r="F173" i="1" s="1"/>
  <c r="Q173" i="1"/>
  <c r="P173" i="1" s="1"/>
  <c r="H173" i="1"/>
  <c r="R169" i="1"/>
  <c r="G169" i="1"/>
  <c r="F169" i="1" s="1"/>
  <c r="Q169" i="1"/>
  <c r="P169" i="1" s="1"/>
  <c r="H169" i="1"/>
  <c r="R165" i="1"/>
  <c r="G165" i="1"/>
  <c r="F165" i="1" s="1"/>
  <c r="Q165" i="1"/>
  <c r="P165" i="1" s="1"/>
  <c r="H165" i="1"/>
  <c r="R161" i="1"/>
  <c r="G161" i="1"/>
  <c r="F161" i="1" s="1"/>
  <c r="Q161" i="1"/>
  <c r="P161" i="1" s="1"/>
  <c r="H161" i="1"/>
  <c r="R153" i="1"/>
  <c r="G153" i="1"/>
  <c r="F153" i="1" s="1"/>
  <c r="Q153" i="1"/>
  <c r="P153" i="1" s="1"/>
  <c r="H153" i="1"/>
  <c r="R149" i="1"/>
  <c r="G149" i="1"/>
  <c r="F149" i="1" s="1"/>
  <c r="Q149" i="1"/>
  <c r="P149" i="1" s="1"/>
  <c r="H149" i="1"/>
  <c r="R145" i="1"/>
  <c r="G145" i="1"/>
  <c r="F145" i="1" s="1"/>
  <c r="Q145" i="1"/>
  <c r="P145" i="1" s="1"/>
  <c r="H145" i="1"/>
  <c r="R141" i="1"/>
  <c r="G141" i="1"/>
  <c r="F141" i="1" s="1"/>
  <c r="Q141" i="1"/>
  <c r="P141" i="1" s="1"/>
  <c r="H141" i="1"/>
  <c r="R137" i="1"/>
  <c r="G137" i="1"/>
  <c r="F137" i="1" s="1"/>
  <c r="Q137" i="1"/>
  <c r="P137" i="1" s="1"/>
  <c r="H137" i="1"/>
  <c r="R133" i="1"/>
  <c r="Q133" i="1"/>
  <c r="P133" i="1" s="1"/>
  <c r="H133" i="1"/>
  <c r="G133" i="1"/>
  <c r="F133" i="1" s="1"/>
  <c r="R129" i="1"/>
  <c r="G129" i="1"/>
  <c r="F129" i="1" s="1"/>
  <c r="Q129" i="1"/>
  <c r="P129" i="1" s="1"/>
  <c r="H129" i="1"/>
  <c r="R125" i="1"/>
  <c r="G125" i="1"/>
  <c r="F125" i="1" s="1"/>
  <c r="Q125" i="1"/>
  <c r="P125" i="1" s="1"/>
  <c r="H125" i="1"/>
  <c r="R121" i="1"/>
  <c r="G121" i="1"/>
  <c r="F121" i="1" s="1"/>
  <c r="Q121" i="1"/>
  <c r="P121" i="1" s="1"/>
  <c r="H121" i="1"/>
  <c r="R117" i="1"/>
  <c r="G117" i="1"/>
  <c r="F117" i="1" s="1"/>
  <c r="Q117" i="1"/>
  <c r="P117" i="1" s="1"/>
  <c r="H117" i="1"/>
  <c r="R109" i="1"/>
  <c r="G109" i="1"/>
  <c r="F109" i="1" s="1"/>
  <c r="Q109" i="1"/>
  <c r="P109" i="1" s="1"/>
  <c r="H109" i="1"/>
  <c r="R105" i="1"/>
  <c r="G105" i="1"/>
  <c r="F105" i="1" s="1"/>
  <c r="Q105" i="1"/>
  <c r="P105" i="1" s="1"/>
  <c r="H105" i="1"/>
  <c r="R101" i="1"/>
  <c r="G101" i="1"/>
  <c r="F101" i="1" s="1"/>
  <c r="Q101" i="1"/>
  <c r="P101" i="1" s="1"/>
  <c r="H101" i="1"/>
  <c r="R97" i="1"/>
  <c r="G97" i="1"/>
  <c r="F97" i="1" s="1"/>
  <c r="Q97" i="1"/>
  <c r="P97" i="1" s="1"/>
  <c r="H97" i="1"/>
  <c r="R93" i="1"/>
  <c r="G93" i="1"/>
  <c r="F93" i="1" s="1"/>
  <c r="Q93" i="1"/>
  <c r="P93" i="1" s="1"/>
  <c r="H93" i="1"/>
  <c r="T31" i="26"/>
  <c r="P31" i="26"/>
  <c r="AK77" i="26"/>
  <c r="AJ77" i="26"/>
  <c r="T77" i="26"/>
  <c r="D48" i="26"/>
  <c r="C50" i="60" s="1"/>
  <c r="H82" i="1"/>
  <c r="G82" i="1"/>
  <c r="F82" i="1" s="1"/>
  <c r="R82" i="1"/>
  <c r="S82" i="1" s="1"/>
  <c r="T82" i="1" s="1"/>
  <c r="Q82" i="1"/>
  <c r="H76" i="1"/>
  <c r="G76" i="1"/>
  <c r="F76" i="1" s="1"/>
  <c r="R76" i="1"/>
  <c r="Q76" i="1"/>
  <c r="H61" i="1"/>
  <c r="G61" i="1"/>
  <c r="F61" i="1" s="1"/>
  <c r="R61" i="1"/>
  <c r="S61" i="1" s="1"/>
  <c r="T61" i="1" s="1"/>
  <c r="Q61" i="1"/>
  <c r="R56" i="1"/>
  <c r="S56" i="1" s="1"/>
  <c r="G56" i="1"/>
  <c r="Q56" i="1"/>
  <c r="H56" i="1"/>
  <c r="E3" i="66"/>
  <c r="R51" i="1"/>
  <c r="S51" i="1" s="1"/>
  <c r="Q51" i="1"/>
  <c r="H51" i="1"/>
  <c r="J51" i="1" s="1"/>
  <c r="R46" i="1"/>
  <c r="S46" i="1" s="1"/>
  <c r="H46" i="1"/>
  <c r="J46" i="1" s="1"/>
  <c r="Q46" i="1"/>
  <c r="R38" i="1"/>
  <c r="S38" i="1" s="1"/>
  <c r="H38" i="1"/>
  <c r="J38" i="1" s="1"/>
  <c r="T38" i="1"/>
  <c r="G38" i="1"/>
  <c r="Q38" i="1"/>
  <c r="T33" i="1"/>
  <c r="R33" i="1"/>
  <c r="S33" i="1" s="1"/>
  <c r="H33" i="1"/>
  <c r="J33" i="1" s="1"/>
  <c r="Q33" i="1"/>
  <c r="G33" i="1"/>
  <c r="Q29" i="1"/>
  <c r="G29" i="1"/>
  <c r="T29" i="1"/>
  <c r="R29" i="1"/>
  <c r="S29" i="1" s="1"/>
  <c r="H29" i="1"/>
  <c r="J29" i="1" s="1"/>
  <c r="Q23" i="1"/>
  <c r="G23" i="1"/>
  <c r="T23" i="1"/>
  <c r="H23" i="1"/>
  <c r="J23" i="1" s="1"/>
  <c r="R23" i="1"/>
  <c r="S23" i="1" s="1"/>
  <c r="R43" i="1"/>
  <c r="S43" i="1" s="1"/>
  <c r="H43" i="1"/>
  <c r="J43" i="1" s="1"/>
  <c r="T43" i="1"/>
  <c r="G43" i="1"/>
  <c r="Q43" i="1"/>
  <c r="R39" i="1"/>
  <c r="H39" i="1"/>
  <c r="T39" i="1"/>
  <c r="G39" i="1"/>
  <c r="Q39" i="1"/>
  <c r="Q14" i="1"/>
  <c r="G14" i="1"/>
  <c r="T14" i="1"/>
  <c r="H14" i="1"/>
  <c r="J14" i="1" s="1"/>
  <c r="R14" i="1"/>
  <c r="S14" i="1" s="1"/>
  <c r="Q11" i="1"/>
  <c r="G11" i="1"/>
  <c r="T11" i="1"/>
  <c r="H11" i="1"/>
  <c r="J11" i="1" s="1"/>
  <c r="R11" i="1"/>
  <c r="S11" i="1" s="1"/>
  <c r="T42" i="26"/>
  <c r="P42" i="26"/>
  <c r="T37" i="26"/>
  <c r="P37" i="26"/>
  <c r="T32" i="26"/>
  <c r="P32" i="26"/>
  <c r="T25" i="26"/>
  <c r="P25" i="26"/>
  <c r="P19" i="26"/>
  <c r="T19" i="26"/>
  <c r="T15" i="26"/>
  <c r="P15" i="26"/>
  <c r="P10" i="26"/>
  <c r="T10" i="26"/>
  <c r="H216" i="1"/>
  <c r="R216" i="1"/>
  <c r="G216" i="1"/>
  <c r="F216" i="1" s="1"/>
  <c r="Q216" i="1"/>
  <c r="P216" i="1" s="1"/>
  <c r="H212" i="1"/>
  <c r="R212" i="1"/>
  <c r="G212" i="1"/>
  <c r="F212" i="1" s="1"/>
  <c r="Q212" i="1"/>
  <c r="P212" i="1" s="1"/>
  <c r="H208" i="1"/>
  <c r="R208" i="1"/>
  <c r="G208" i="1"/>
  <c r="F208" i="1" s="1"/>
  <c r="Q208" i="1"/>
  <c r="H204" i="1"/>
  <c r="R204" i="1"/>
  <c r="G204" i="1"/>
  <c r="F204" i="1" s="1"/>
  <c r="Q204" i="1"/>
  <c r="P204" i="1" s="1"/>
  <c r="H200" i="1"/>
  <c r="R200" i="1"/>
  <c r="G200" i="1"/>
  <c r="F200" i="1" s="1"/>
  <c r="Q200" i="1"/>
  <c r="P200" i="1" s="1"/>
  <c r="H196" i="1"/>
  <c r="R196" i="1"/>
  <c r="G196" i="1"/>
  <c r="F196" i="1" s="1"/>
  <c r="Q196" i="1"/>
  <c r="P196" i="1" s="1"/>
  <c r="H192" i="1"/>
  <c r="R192" i="1"/>
  <c r="G192" i="1"/>
  <c r="F192" i="1" s="1"/>
  <c r="Q192" i="1"/>
  <c r="P192" i="1" s="1"/>
  <c r="H188" i="1"/>
  <c r="R188" i="1"/>
  <c r="G188" i="1"/>
  <c r="F188" i="1" s="1"/>
  <c r="Q188" i="1"/>
  <c r="P188" i="1" s="1"/>
  <c r="H184" i="1"/>
  <c r="R184" i="1"/>
  <c r="G184" i="1"/>
  <c r="F184" i="1" s="1"/>
  <c r="Q184" i="1"/>
  <c r="P184" i="1" s="1"/>
  <c r="H180" i="1"/>
  <c r="R180" i="1"/>
  <c r="G180" i="1"/>
  <c r="F180" i="1" s="1"/>
  <c r="Q180" i="1"/>
  <c r="P180" i="1" s="1"/>
  <c r="H176" i="1"/>
  <c r="R176" i="1"/>
  <c r="G176" i="1"/>
  <c r="F176" i="1" s="1"/>
  <c r="Q176" i="1"/>
  <c r="P176" i="1" s="1"/>
  <c r="H172" i="1"/>
  <c r="R172" i="1"/>
  <c r="G172" i="1"/>
  <c r="F172" i="1" s="1"/>
  <c r="Q172" i="1"/>
  <c r="P172" i="1" s="1"/>
  <c r="H168" i="1"/>
  <c r="R168" i="1"/>
  <c r="G168" i="1"/>
  <c r="F168" i="1" s="1"/>
  <c r="Q168" i="1"/>
  <c r="P168" i="1" s="1"/>
  <c r="H164" i="1"/>
  <c r="R164" i="1"/>
  <c r="G164" i="1"/>
  <c r="F164" i="1" s="1"/>
  <c r="Q164" i="1"/>
  <c r="P164" i="1" s="1"/>
  <c r="H160" i="1"/>
  <c r="R160" i="1"/>
  <c r="G160" i="1"/>
  <c r="F160" i="1" s="1"/>
  <c r="Q160" i="1"/>
  <c r="P160" i="1" s="1"/>
  <c r="H156" i="1"/>
  <c r="R156" i="1"/>
  <c r="G156" i="1"/>
  <c r="F156" i="1" s="1"/>
  <c r="Q156" i="1"/>
  <c r="P156" i="1" s="1"/>
  <c r="H152" i="1"/>
  <c r="R152" i="1"/>
  <c r="G152" i="1"/>
  <c r="F152" i="1" s="1"/>
  <c r="Q152" i="1"/>
  <c r="P152" i="1" s="1"/>
  <c r="H148" i="1"/>
  <c r="R148" i="1"/>
  <c r="G148" i="1"/>
  <c r="F148" i="1" s="1"/>
  <c r="Q148" i="1"/>
  <c r="P148" i="1" s="1"/>
  <c r="H144" i="1"/>
  <c r="R144" i="1"/>
  <c r="G144" i="1"/>
  <c r="F144" i="1" s="1"/>
  <c r="Q144" i="1"/>
  <c r="P144" i="1" s="1"/>
  <c r="H140" i="1"/>
  <c r="R140" i="1"/>
  <c r="G140" i="1"/>
  <c r="F140" i="1" s="1"/>
  <c r="Q140" i="1"/>
  <c r="P140" i="1" s="1"/>
  <c r="H136" i="1"/>
  <c r="R136" i="1"/>
  <c r="G136" i="1"/>
  <c r="F136" i="1" s="1"/>
  <c r="Q136" i="1"/>
  <c r="P136" i="1" s="1"/>
  <c r="Q132" i="1"/>
  <c r="P132" i="1" s="1"/>
  <c r="H132" i="1"/>
  <c r="G132" i="1"/>
  <c r="F132" i="1" s="1"/>
  <c r="R132" i="1"/>
  <c r="H128" i="1"/>
  <c r="R128" i="1"/>
  <c r="G128" i="1"/>
  <c r="F128" i="1" s="1"/>
  <c r="Q128" i="1"/>
  <c r="P128" i="1" s="1"/>
  <c r="H124" i="1"/>
  <c r="R124" i="1"/>
  <c r="G124" i="1"/>
  <c r="F124" i="1" s="1"/>
  <c r="Q124" i="1"/>
  <c r="P124" i="1" s="1"/>
  <c r="H120" i="1"/>
  <c r="R120" i="1"/>
  <c r="G120" i="1"/>
  <c r="F120" i="1" s="1"/>
  <c r="Q120" i="1"/>
  <c r="P120" i="1" s="1"/>
  <c r="H116" i="1"/>
  <c r="R116" i="1"/>
  <c r="G116" i="1"/>
  <c r="F116" i="1" s="1"/>
  <c r="Q116" i="1"/>
  <c r="P116" i="1" s="1"/>
  <c r="H108" i="1"/>
  <c r="R108" i="1"/>
  <c r="G108" i="1"/>
  <c r="F108" i="1" s="1"/>
  <c r="Q108" i="1"/>
  <c r="P108" i="1" s="1"/>
  <c r="H104" i="1"/>
  <c r="R104" i="1"/>
  <c r="G104" i="1"/>
  <c r="F104" i="1" s="1"/>
  <c r="Q104" i="1"/>
  <c r="P104" i="1" s="1"/>
  <c r="H100" i="1"/>
  <c r="R100" i="1"/>
  <c r="G100" i="1"/>
  <c r="F100" i="1" s="1"/>
  <c r="Q100" i="1"/>
  <c r="P100" i="1" s="1"/>
  <c r="H96" i="1"/>
  <c r="R96" i="1"/>
  <c r="G96" i="1"/>
  <c r="F96" i="1" s="1"/>
  <c r="Q96" i="1"/>
  <c r="P96" i="1" s="1"/>
  <c r="H92" i="1"/>
  <c r="R92" i="1"/>
  <c r="G92" i="1"/>
  <c r="F92" i="1" s="1"/>
  <c r="Q92" i="1"/>
  <c r="P92" i="1" s="1"/>
  <c r="P29" i="26"/>
  <c r="T29" i="26"/>
  <c r="D76" i="26"/>
  <c r="AK76" i="26"/>
  <c r="AJ76" i="26"/>
  <c r="H81" i="1"/>
  <c r="R81" i="1"/>
  <c r="G81" i="1"/>
  <c r="F81" i="1" s="1"/>
  <c r="Q81" i="1"/>
  <c r="H74" i="1"/>
  <c r="R74" i="1"/>
  <c r="G74" i="1"/>
  <c r="F74" i="1" s="1"/>
  <c r="Q74" i="1"/>
  <c r="H60" i="1"/>
  <c r="R60" i="1"/>
  <c r="S60" i="1" s="1"/>
  <c r="G60" i="1"/>
  <c r="F60" i="1" s="1"/>
  <c r="T45" i="26"/>
  <c r="P45" i="26"/>
  <c r="D45" i="26"/>
  <c r="C47" i="60" s="1"/>
  <c r="Q72" i="1"/>
  <c r="H72" i="1"/>
  <c r="G72" i="1"/>
  <c r="F72" i="1" s="1"/>
  <c r="R72" i="1"/>
  <c r="R62" i="1"/>
  <c r="S62" i="1" s="1"/>
  <c r="G62" i="1"/>
  <c r="F62" i="1" s="1"/>
  <c r="Q62" i="1"/>
  <c r="H62" i="1"/>
  <c r="T44" i="1"/>
  <c r="H44" i="1"/>
  <c r="J44" i="1" s="1"/>
  <c r="G44" i="1"/>
  <c r="R44" i="1"/>
  <c r="S44" i="1" s="1"/>
  <c r="Q44" i="1"/>
  <c r="R37" i="1"/>
  <c r="S37" i="1" s="1"/>
  <c r="H37" i="1"/>
  <c r="J37" i="1" s="1"/>
  <c r="T37" i="1"/>
  <c r="G37" i="1"/>
  <c r="Q37" i="1"/>
  <c r="T34" i="1"/>
  <c r="R34" i="1"/>
  <c r="H34" i="1"/>
  <c r="Q34" i="1"/>
  <c r="G34" i="1"/>
  <c r="Q30" i="1"/>
  <c r="G30" i="1"/>
  <c r="T30" i="1"/>
  <c r="H30" i="1"/>
  <c r="J30" i="1" s="1"/>
  <c r="R30" i="1"/>
  <c r="S30" i="1" s="1"/>
  <c r="Q24" i="1"/>
  <c r="G24" i="1"/>
  <c r="T24" i="1"/>
  <c r="R24" i="1"/>
  <c r="S24" i="1" s="1"/>
  <c r="H24" i="1"/>
  <c r="J24" i="1" s="1"/>
  <c r="Q19" i="1"/>
  <c r="G19" i="1"/>
  <c r="T19" i="1"/>
  <c r="H19" i="1"/>
  <c r="R19" i="1"/>
  <c r="Q16" i="1"/>
  <c r="G16" i="1"/>
  <c r="T16" i="1"/>
  <c r="R16" i="1"/>
  <c r="S16" i="1" s="1"/>
  <c r="H16" i="1"/>
  <c r="J16" i="1" s="1"/>
  <c r="R41" i="1"/>
  <c r="H41" i="1"/>
  <c r="T41" i="1"/>
  <c r="G41" i="1"/>
  <c r="Q41" i="1"/>
  <c r="Q10" i="1"/>
  <c r="G10" i="1"/>
  <c r="T10" i="1"/>
  <c r="R10" i="1"/>
  <c r="H10" i="1"/>
  <c r="T41" i="26"/>
  <c r="P41" i="26"/>
  <c r="T35" i="26"/>
  <c r="P35" i="26"/>
  <c r="P30" i="26"/>
  <c r="T30" i="26"/>
  <c r="T24" i="26"/>
  <c r="P24" i="26"/>
  <c r="T18" i="26"/>
  <c r="P18" i="26"/>
  <c r="P14" i="26"/>
  <c r="T14" i="26"/>
  <c r="T9" i="26"/>
  <c r="P9" i="26"/>
  <c r="R157" i="1"/>
  <c r="G157" i="1"/>
  <c r="Q157" i="1"/>
  <c r="P157" i="1" s="1"/>
  <c r="H157" i="1"/>
  <c r="J157" i="1" s="1"/>
  <c r="H203" i="1"/>
  <c r="R203" i="1"/>
  <c r="G203" i="1"/>
  <c r="F203" i="1" s="1"/>
  <c r="Q203" i="1"/>
  <c r="P203" i="1" s="1"/>
  <c r="H199" i="1"/>
  <c r="R199" i="1"/>
  <c r="G199" i="1"/>
  <c r="F199" i="1" s="1"/>
  <c r="Q199" i="1"/>
  <c r="P199" i="1" s="1"/>
  <c r="H195" i="1"/>
  <c r="R195" i="1"/>
  <c r="G195" i="1"/>
  <c r="F195" i="1" s="1"/>
  <c r="Q195" i="1"/>
  <c r="P195" i="1" s="1"/>
  <c r="H191" i="1"/>
  <c r="R191" i="1"/>
  <c r="G191" i="1"/>
  <c r="F191" i="1" s="1"/>
  <c r="Q191" i="1"/>
  <c r="P191" i="1" s="1"/>
  <c r="H187" i="1"/>
  <c r="R187" i="1"/>
  <c r="G187" i="1"/>
  <c r="F187" i="1" s="1"/>
  <c r="Q187" i="1"/>
  <c r="P187" i="1" s="1"/>
  <c r="H183" i="1"/>
  <c r="R183" i="1"/>
  <c r="G183" i="1"/>
  <c r="F183" i="1" s="1"/>
  <c r="Q183" i="1"/>
  <c r="P183" i="1" s="1"/>
  <c r="H179" i="1"/>
  <c r="R179" i="1"/>
  <c r="G179" i="1"/>
  <c r="F179" i="1" s="1"/>
  <c r="Q179" i="1"/>
  <c r="P179" i="1" s="1"/>
  <c r="H175" i="1"/>
  <c r="R175" i="1"/>
  <c r="G175" i="1"/>
  <c r="F175" i="1" s="1"/>
  <c r="Q175" i="1"/>
  <c r="P175" i="1" s="1"/>
  <c r="H171" i="1"/>
  <c r="R171" i="1"/>
  <c r="G171" i="1"/>
  <c r="F171" i="1" s="1"/>
  <c r="Q171" i="1"/>
  <c r="P171" i="1" s="1"/>
  <c r="H167" i="1"/>
  <c r="R167" i="1"/>
  <c r="G167" i="1"/>
  <c r="F167" i="1" s="1"/>
  <c r="Q167" i="1"/>
  <c r="P167" i="1" s="1"/>
  <c r="H163" i="1"/>
  <c r="R163" i="1"/>
  <c r="G163" i="1"/>
  <c r="F163" i="1" s="1"/>
  <c r="Q163" i="1"/>
  <c r="P163" i="1" s="1"/>
  <c r="H159" i="1"/>
  <c r="R159" i="1"/>
  <c r="G159" i="1"/>
  <c r="F159" i="1" s="1"/>
  <c r="Q159" i="1"/>
  <c r="P159" i="1" s="1"/>
  <c r="H155" i="1"/>
  <c r="R155" i="1"/>
  <c r="G155" i="1"/>
  <c r="F155" i="1" s="1"/>
  <c r="Q155" i="1"/>
  <c r="P155" i="1" s="1"/>
  <c r="H151" i="1"/>
  <c r="R151" i="1"/>
  <c r="G151" i="1"/>
  <c r="F151" i="1" s="1"/>
  <c r="Q151" i="1"/>
  <c r="P151" i="1" s="1"/>
  <c r="H147" i="1"/>
  <c r="R147" i="1"/>
  <c r="G147" i="1"/>
  <c r="F147" i="1" s="1"/>
  <c r="Q147" i="1"/>
  <c r="P147" i="1" s="1"/>
  <c r="H143" i="1"/>
  <c r="R143" i="1"/>
  <c r="G143" i="1"/>
  <c r="F143" i="1" s="1"/>
  <c r="Q143" i="1"/>
  <c r="P143" i="1" s="1"/>
  <c r="H139" i="1"/>
  <c r="R139" i="1"/>
  <c r="G139" i="1"/>
  <c r="F139" i="1" s="1"/>
  <c r="Q139" i="1"/>
  <c r="P139" i="1" s="1"/>
  <c r="H135" i="1"/>
  <c r="R135" i="1"/>
  <c r="G135" i="1"/>
  <c r="F135" i="1" s="1"/>
  <c r="Q135" i="1"/>
  <c r="P135" i="1" s="1"/>
  <c r="H131" i="1"/>
  <c r="Q131" i="1"/>
  <c r="P131" i="1" s="1"/>
  <c r="G131" i="1"/>
  <c r="F131" i="1" s="1"/>
  <c r="R131" i="1"/>
  <c r="H127" i="1"/>
  <c r="Q127" i="1"/>
  <c r="P127" i="1" s="1"/>
  <c r="G127" i="1"/>
  <c r="F127" i="1" s="1"/>
  <c r="R127" i="1"/>
  <c r="H123" i="1"/>
  <c r="R123" i="1"/>
  <c r="Q123" i="1"/>
  <c r="P123" i="1" s="1"/>
  <c r="G123" i="1"/>
  <c r="F123" i="1" s="1"/>
  <c r="H119" i="1"/>
  <c r="R119" i="1"/>
  <c r="Q119" i="1"/>
  <c r="P119" i="1" s="1"/>
  <c r="G119" i="1"/>
  <c r="F119" i="1" s="1"/>
  <c r="H115" i="1"/>
  <c r="R115" i="1"/>
  <c r="Q115" i="1"/>
  <c r="P115" i="1" s="1"/>
  <c r="G115" i="1"/>
  <c r="F115" i="1" s="1"/>
  <c r="H111" i="1"/>
  <c r="Q111" i="1"/>
  <c r="P111" i="1" s="1"/>
  <c r="G111" i="1"/>
  <c r="F111" i="1" s="1"/>
  <c r="R111" i="1"/>
  <c r="H107" i="1"/>
  <c r="Q107" i="1"/>
  <c r="P107" i="1" s="1"/>
  <c r="G107" i="1"/>
  <c r="F107" i="1" s="1"/>
  <c r="R107" i="1"/>
  <c r="H103" i="1"/>
  <c r="Q103" i="1"/>
  <c r="P103" i="1" s="1"/>
  <c r="G103" i="1"/>
  <c r="F103" i="1" s="1"/>
  <c r="R103" i="1"/>
  <c r="H99" i="1"/>
  <c r="Q99" i="1"/>
  <c r="P99" i="1" s="1"/>
  <c r="G99" i="1"/>
  <c r="F99" i="1" s="1"/>
  <c r="R99" i="1"/>
  <c r="H95" i="1"/>
  <c r="Q95" i="1"/>
  <c r="P95" i="1" s="1"/>
  <c r="G95" i="1"/>
  <c r="F95" i="1" s="1"/>
  <c r="R95" i="1"/>
  <c r="H91" i="1"/>
  <c r="Q91" i="1"/>
  <c r="P91" i="1" s="1"/>
  <c r="G91" i="1"/>
  <c r="F91" i="1" s="1"/>
  <c r="R91" i="1"/>
  <c r="T23" i="26"/>
  <c r="P23" i="26"/>
  <c r="D51" i="26"/>
  <c r="C53" i="60" s="1"/>
  <c r="T51" i="26"/>
  <c r="R88" i="1"/>
  <c r="G88" i="1"/>
  <c r="F88" i="1" s="1"/>
  <c r="Q88" i="1"/>
  <c r="H88" i="1"/>
  <c r="Q78" i="1"/>
  <c r="H78" i="1"/>
  <c r="G78" i="1"/>
  <c r="F78" i="1" s="1"/>
  <c r="R78" i="1"/>
  <c r="S78" i="1" s="1"/>
  <c r="R69" i="1"/>
  <c r="G69" i="1"/>
  <c r="F69" i="1" s="1"/>
  <c r="H69" i="1"/>
  <c r="Q69" i="1"/>
  <c r="Q59" i="1"/>
  <c r="G59" i="1"/>
  <c r="F59" i="1" s="1"/>
  <c r="R59" i="1"/>
  <c r="S59" i="1" s="1"/>
  <c r="H59" i="1"/>
  <c r="H57" i="1"/>
  <c r="G57" i="1"/>
  <c r="F57" i="1" s="1"/>
  <c r="R57" i="1"/>
  <c r="Q57" i="1"/>
  <c r="AK58" i="26"/>
  <c r="T58" i="26"/>
  <c r="AJ58" i="26"/>
  <c r="AJ87" i="26"/>
  <c r="AK87" i="26"/>
  <c r="AJ81" i="26"/>
  <c r="AK81" i="26"/>
  <c r="D81" i="26"/>
  <c r="AJ54" i="26"/>
  <c r="AK54" i="26"/>
  <c r="AJ82" i="26"/>
  <c r="AK82" i="26"/>
  <c r="D82" i="26"/>
  <c r="AK60" i="26"/>
  <c r="AJ60" i="26"/>
  <c r="D60" i="26"/>
  <c r="AK57" i="26"/>
  <c r="AJ57" i="26"/>
  <c r="D57" i="26"/>
  <c r="AJ80" i="26"/>
  <c r="AK80" i="26"/>
  <c r="D80" i="26"/>
  <c r="AJ63" i="26"/>
  <c r="AK63" i="26"/>
  <c r="T63" i="26"/>
  <c r="D55" i="26"/>
  <c r="AK55" i="26"/>
  <c r="AJ55" i="26"/>
  <c r="E32" i="26"/>
  <c r="S28" i="1"/>
  <c r="Y11" i="26"/>
  <c r="E17" i="26"/>
  <c r="E13" i="26"/>
  <c r="Y31" i="26"/>
  <c r="E14" i="26"/>
  <c r="C25" i="59"/>
  <c r="Z21" i="26"/>
  <c r="K27" i="26"/>
  <c r="X27" i="26" s="1"/>
  <c r="S113" i="1"/>
  <c r="Y10" i="26"/>
  <c r="Y27" i="26"/>
  <c r="Y36" i="26"/>
  <c r="Y32" i="26"/>
  <c r="K9" i="26"/>
  <c r="X9" i="26" s="1"/>
  <c r="P110" i="1"/>
  <c r="E10" i="3"/>
  <c r="E5" i="66"/>
  <c r="J32" i="1"/>
  <c r="J50" i="1"/>
  <c r="Y30" i="26"/>
  <c r="K35" i="26"/>
  <c r="X35" i="26" s="1"/>
  <c r="D52" i="56"/>
  <c r="C41" i="56"/>
  <c r="C36" i="56"/>
  <c r="C24" i="56"/>
  <c r="C17" i="56"/>
  <c r="C12" i="56"/>
  <c r="C46" i="56"/>
  <c r="J42" i="60"/>
  <c r="C22" i="56"/>
  <c r="C18" i="56"/>
  <c r="C14" i="56"/>
  <c r="C9" i="56"/>
  <c r="C33" i="56"/>
  <c r="M44" i="26"/>
  <c r="C29" i="56"/>
  <c r="K8" i="56"/>
  <c r="K91" i="56" s="1"/>
  <c r="C11" i="56"/>
  <c r="K52" i="56"/>
  <c r="C40" i="56"/>
  <c r="K16" i="26"/>
  <c r="Z16" i="26" s="1"/>
  <c r="E39" i="26"/>
  <c r="K48" i="26"/>
  <c r="Y20" i="26"/>
  <c r="J65" i="1"/>
  <c r="E32" i="3"/>
  <c r="E20" i="3"/>
  <c r="Y50" i="26"/>
  <c r="Y33" i="26"/>
  <c r="T80" i="1"/>
  <c r="S50" i="1"/>
  <c r="S32" i="1"/>
  <c r="Z26" i="26"/>
  <c r="E19" i="3"/>
  <c r="E16" i="3"/>
  <c r="E18" i="3"/>
  <c r="Y48" i="26"/>
  <c r="Y14" i="26"/>
  <c r="J63" i="1"/>
  <c r="K63" i="1" s="1"/>
  <c r="P45" i="1"/>
  <c r="E33" i="3"/>
  <c r="D39" i="3"/>
  <c r="Y39" i="26"/>
  <c r="K32" i="26"/>
  <c r="Z32" i="26" s="1"/>
  <c r="Y45" i="26"/>
  <c r="K20" i="26"/>
  <c r="C24" i="59" s="1"/>
  <c r="Y51" i="26"/>
  <c r="Y47" i="26"/>
  <c r="S158" i="1"/>
  <c r="S126" i="1"/>
  <c r="Y13" i="26"/>
  <c r="G45" i="1"/>
  <c r="Y16" i="26"/>
  <c r="Y12" i="26"/>
  <c r="K14" i="26"/>
  <c r="K30" i="26"/>
  <c r="X30" i="26" s="1"/>
  <c r="E16" i="26"/>
  <c r="U8" i="26"/>
  <c r="T66" i="1"/>
  <c r="J158" i="1"/>
  <c r="E29" i="3"/>
  <c r="X21" i="26"/>
  <c r="K37" i="26"/>
  <c r="X37" i="26" s="1"/>
  <c r="K17" i="26"/>
  <c r="Z17" i="26" s="1"/>
  <c r="E15" i="26"/>
  <c r="E12" i="26"/>
  <c r="E29" i="26"/>
  <c r="G29" i="26" s="1"/>
  <c r="E23" i="26"/>
  <c r="J68" i="1"/>
  <c r="Y35" i="26"/>
  <c r="E30" i="3"/>
  <c r="Y17" i="26"/>
  <c r="D8" i="26"/>
  <c r="K13" i="26"/>
  <c r="X13" i="26" s="1"/>
  <c r="E30" i="26"/>
  <c r="E21" i="26"/>
  <c r="J25" i="1"/>
  <c r="Y37" i="26"/>
  <c r="E24" i="3"/>
  <c r="K36" i="26"/>
  <c r="X36" i="26" s="1"/>
  <c r="K15" i="26"/>
  <c r="C19" i="59" s="1"/>
  <c r="K12" i="26"/>
  <c r="X12" i="26" s="1"/>
  <c r="Y41" i="26"/>
  <c r="E36" i="26"/>
  <c r="G36" i="26" s="1"/>
  <c r="S36" i="26" s="1"/>
  <c r="O36" i="26" s="1"/>
  <c r="K28" i="26"/>
  <c r="X28" i="26" s="1"/>
  <c r="E18" i="26"/>
  <c r="E9" i="26"/>
  <c r="E22" i="3"/>
  <c r="E9" i="3"/>
  <c r="E28" i="3"/>
  <c r="Y21" i="26"/>
  <c r="Y15" i="26"/>
  <c r="K46" i="26"/>
  <c r="K39" i="26"/>
  <c r="C43" i="59" s="1"/>
  <c r="K47" i="26"/>
  <c r="C51" i="59" s="1"/>
  <c r="F45" i="1"/>
  <c r="E21" i="3"/>
  <c r="E17" i="3"/>
  <c r="C39" i="3"/>
  <c r="S47" i="1"/>
  <c r="E14" i="3"/>
  <c r="E27" i="3"/>
  <c r="X26" i="26"/>
  <c r="K51" i="26"/>
  <c r="C55" i="59" s="1"/>
  <c r="K10" i="26"/>
  <c r="E43" i="26"/>
  <c r="E31" i="26"/>
  <c r="E40" i="26"/>
  <c r="G40" i="26" s="1"/>
  <c r="E35" i="3"/>
  <c r="K30" i="1" s="1"/>
  <c r="M30" i="1" s="1"/>
  <c r="A73" i="26"/>
  <c r="T73" i="1"/>
  <c r="A56" i="26"/>
  <c r="S55" i="1"/>
  <c r="T55" i="1" s="1"/>
  <c r="E42" i="26"/>
  <c r="J49" i="1"/>
  <c r="E11" i="3"/>
  <c r="E34" i="3"/>
  <c r="E24" i="26"/>
  <c r="K24" i="26"/>
  <c r="E25" i="3"/>
  <c r="E13" i="3"/>
  <c r="E23" i="3"/>
  <c r="E8" i="3"/>
  <c r="R44" i="26"/>
  <c r="K34" i="26"/>
  <c r="E41" i="26"/>
  <c r="K41" i="26"/>
  <c r="B39" i="3"/>
  <c r="E26" i="3"/>
  <c r="E31" i="3"/>
  <c r="K45" i="26"/>
  <c r="E33" i="26"/>
  <c r="K33" i="26"/>
  <c r="E50" i="26"/>
  <c r="K50" i="26"/>
  <c r="K19" i="26"/>
  <c r="K42" i="26"/>
  <c r="K38" i="26"/>
  <c r="A75" i="26"/>
  <c r="J85" i="1"/>
  <c r="K85" i="1" s="1"/>
  <c r="C44" i="60"/>
  <c r="K25" i="26"/>
  <c r="E19" i="26"/>
  <c r="E37" i="3"/>
  <c r="K24" i="1" s="1"/>
  <c r="M24" i="1" s="1"/>
  <c r="T54" i="1"/>
  <c r="C25" i="60"/>
  <c r="C20" i="60"/>
  <c r="E26" i="26"/>
  <c r="K40" i="26"/>
  <c r="A61" i="26"/>
  <c r="J87" i="1"/>
  <c r="K87" i="1" s="1"/>
  <c r="J73" i="1"/>
  <c r="K73" i="1" s="1"/>
  <c r="K18" i="26"/>
  <c r="E38" i="26"/>
  <c r="K43" i="26"/>
  <c r="J71" i="1"/>
  <c r="K71" i="1" s="1"/>
  <c r="J70" i="1"/>
  <c r="G27" i="26"/>
  <c r="S27" i="26" s="1"/>
  <c r="O27" i="26" s="1"/>
  <c r="J75" i="1"/>
  <c r="K75" i="1" s="1"/>
  <c r="E25" i="26"/>
  <c r="E36" i="3"/>
  <c r="K32" i="1" s="1"/>
  <c r="A68" i="26"/>
  <c r="I43" i="26"/>
  <c r="I26" i="26"/>
  <c r="E11" i="26"/>
  <c r="A66" i="26"/>
  <c r="J86" i="1"/>
  <c r="K86" i="1" s="1"/>
  <c r="T86" i="1"/>
  <c r="S75" i="1"/>
  <c r="T75" i="1" s="1"/>
  <c r="T85" i="1"/>
  <c r="A71" i="26"/>
  <c r="T71" i="1"/>
  <c r="T68" i="1"/>
  <c r="S65" i="1"/>
  <c r="T65" i="1" s="1"/>
  <c r="J84" i="1"/>
  <c r="K84" i="1" s="1"/>
  <c r="M83" i="26" s="1"/>
  <c r="A59" i="26"/>
  <c r="J80" i="1"/>
  <c r="K80" i="1" s="1"/>
  <c r="J66" i="1"/>
  <c r="J54" i="1"/>
  <c r="K54" i="1" s="1"/>
  <c r="D91" i="56" l="1"/>
  <c r="S213" i="1"/>
  <c r="S215" i="1"/>
  <c r="S94" i="1"/>
  <c r="S102" i="1"/>
  <c r="S106" i="1"/>
  <c r="S130" i="1"/>
  <c r="J67" i="1"/>
  <c r="S134" i="1"/>
  <c r="S138" i="1"/>
  <c r="S142" i="1"/>
  <c r="I23" i="70"/>
  <c r="I22" i="70"/>
  <c r="S118" i="1"/>
  <c r="S122" i="1"/>
  <c r="S146" i="1"/>
  <c r="S150" i="1"/>
  <c r="S154" i="1"/>
  <c r="S198" i="1"/>
  <c r="S207" i="1"/>
  <c r="S211" i="1"/>
  <c r="J98" i="1"/>
  <c r="I15" i="70"/>
  <c r="I19" i="70"/>
  <c r="I7" i="70"/>
  <c r="I8" i="70"/>
  <c r="I14" i="70"/>
  <c r="I16" i="70"/>
  <c r="I9" i="70"/>
  <c r="I17" i="70"/>
  <c r="I11" i="70"/>
  <c r="I18" i="70"/>
  <c r="I10" i="70"/>
  <c r="I5" i="70"/>
  <c r="I13" i="70"/>
  <c r="I21" i="70"/>
  <c r="I4" i="70"/>
  <c r="I6" i="70"/>
  <c r="I20" i="70"/>
  <c r="S40" i="26"/>
  <c r="O40" i="26" s="1"/>
  <c r="S186" i="1"/>
  <c r="S176" i="1"/>
  <c r="J192" i="1"/>
  <c r="J109" i="1"/>
  <c r="J129" i="1"/>
  <c r="J141" i="1"/>
  <c r="J149" i="1"/>
  <c r="J153" i="1"/>
  <c r="J165" i="1"/>
  <c r="J177" i="1"/>
  <c r="J58" i="1"/>
  <c r="Z13" i="26"/>
  <c r="J82" i="1"/>
  <c r="K82" i="1" s="1"/>
  <c r="V82" i="1" s="1"/>
  <c r="P81" i="26" s="1"/>
  <c r="S199" i="1"/>
  <c r="S92" i="1"/>
  <c r="S100" i="1"/>
  <c r="S104" i="1"/>
  <c r="J164" i="1"/>
  <c r="T56" i="1"/>
  <c r="J218" i="1"/>
  <c r="J59" i="1"/>
  <c r="J88" i="1"/>
  <c r="S91" i="1"/>
  <c r="S95" i="1"/>
  <c r="J155" i="1"/>
  <c r="J179" i="1"/>
  <c r="J187" i="1"/>
  <c r="J191" i="1"/>
  <c r="J195" i="1"/>
  <c r="S141" i="1"/>
  <c r="Z47" i="26"/>
  <c r="S197" i="1"/>
  <c r="S193" i="1"/>
  <c r="J10" i="1"/>
  <c r="S108" i="1"/>
  <c r="S144" i="1"/>
  <c r="J133" i="1"/>
  <c r="S210" i="1"/>
  <c r="J104" i="1"/>
  <c r="C39" i="59"/>
  <c r="S177" i="1"/>
  <c r="S135" i="1"/>
  <c r="J77" i="1"/>
  <c r="T46" i="26"/>
  <c r="P46" i="26" s="1"/>
  <c r="S160" i="1"/>
  <c r="S168" i="1"/>
  <c r="S172" i="1"/>
  <c r="J188" i="1"/>
  <c r="E48" i="26"/>
  <c r="S194" i="1"/>
  <c r="J95" i="1"/>
  <c r="J99" i="1"/>
  <c r="J111" i="1"/>
  <c r="S115" i="1"/>
  <c r="S119" i="1"/>
  <c r="J127" i="1"/>
  <c r="J131" i="1"/>
  <c r="S155" i="1"/>
  <c r="J156" i="1"/>
  <c r="J160" i="1"/>
  <c r="J172" i="1"/>
  <c r="J190" i="1"/>
  <c r="J194" i="1"/>
  <c r="J202" i="1"/>
  <c r="J206" i="1"/>
  <c r="J210" i="1"/>
  <c r="J214" i="1"/>
  <c r="J207" i="1"/>
  <c r="J211" i="1"/>
  <c r="J215" i="1"/>
  <c r="X39" i="26"/>
  <c r="E51" i="26"/>
  <c r="J137" i="1"/>
  <c r="J161" i="1"/>
  <c r="J173" i="1"/>
  <c r="J57" i="1"/>
  <c r="J69" i="1"/>
  <c r="K69" i="1" s="1"/>
  <c r="Z39" i="26"/>
  <c r="J143" i="1"/>
  <c r="J147" i="1"/>
  <c r="S157" i="1"/>
  <c r="X48" i="26"/>
  <c r="S101" i="1"/>
  <c r="J115" i="1"/>
  <c r="J119" i="1"/>
  <c r="J123" i="1"/>
  <c r="J135" i="1"/>
  <c r="S195" i="1"/>
  <c r="J92" i="1"/>
  <c r="J96" i="1"/>
  <c r="J100" i="1"/>
  <c r="S116" i="1"/>
  <c r="J205" i="1"/>
  <c r="J209" i="1"/>
  <c r="J94" i="1"/>
  <c r="J102" i="1"/>
  <c r="J74" i="1"/>
  <c r="J60" i="1"/>
  <c r="S201" i="1"/>
  <c r="J93" i="1"/>
  <c r="S105" i="1"/>
  <c r="J121" i="1"/>
  <c r="J145" i="1"/>
  <c r="S161" i="1"/>
  <c r="J169" i="1"/>
  <c r="J181" i="1"/>
  <c r="J196" i="1"/>
  <c r="S107" i="1"/>
  <c r="S179" i="1"/>
  <c r="S187" i="1"/>
  <c r="S136" i="1"/>
  <c r="S140" i="1"/>
  <c r="J140" i="1"/>
  <c r="S212" i="1"/>
  <c r="S216" i="1"/>
  <c r="S93" i="1"/>
  <c r="S117" i="1"/>
  <c r="S129" i="1"/>
  <c r="S137" i="1"/>
  <c r="S145" i="1"/>
  <c r="S153" i="1"/>
  <c r="S165" i="1"/>
  <c r="S173" i="1"/>
  <c r="S181" i="1"/>
  <c r="J162" i="1"/>
  <c r="J166" i="1"/>
  <c r="J170" i="1"/>
  <c r="J174" i="1"/>
  <c r="J178" i="1"/>
  <c r="J182" i="1"/>
  <c r="J186" i="1"/>
  <c r="T48" i="26"/>
  <c r="P48" i="26" s="1"/>
  <c r="S121" i="1"/>
  <c r="S133" i="1"/>
  <c r="S169" i="1"/>
  <c r="S200" i="1"/>
  <c r="J203" i="1"/>
  <c r="S128" i="1"/>
  <c r="S97" i="1"/>
  <c r="S109" i="1"/>
  <c r="S125" i="1"/>
  <c r="S149" i="1"/>
  <c r="S204" i="1"/>
  <c r="S103" i="1"/>
  <c r="H90" i="1"/>
  <c r="S151" i="1"/>
  <c r="S159" i="1"/>
  <c r="J167" i="1"/>
  <c r="J171" i="1"/>
  <c r="J124" i="1"/>
  <c r="J128" i="1"/>
  <c r="J132" i="1"/>
  <c r="J136" i="1"/>
  <c r="S148" i="1"/>
  <c r="J184" i="1"/>
  <c r="J200" i="1"/>
  <c r="J204" i="1"/>
  <c r="J208" i="1"/>
  <c r="J212" i="1"/>
  <c r="J216" i="1"/>
  <c r="S205" i="1"/>
  <c r="S209" i="1"/>
  <c r="S217" i="1"/>
  <c r="S174" i="1"/>
  <c r="J55" i="1"/>
  <c r="K55" i="1" s="1"/>
  <c r="V55" i="1" s="1"/>
  <c r="P54" i="26" s="1"/>
  <c r="J118" i="1"/>
  <c r="J122" i="1"/>
  <c r="C17" i="59"/>
  <c r="S152" i="1"/>
  <c r="C34" i="59"/>
  <c r="S156" i="1"/>
  <c r="S170" i="1"/>
  <c r="S190" i="1"/>
  <c r="R90" i="1"/>
  <c r="S163" i="1"/>
  <c r="Z35" i="26"/>
  <c r="S120" i="1"/>
  <c r="S202" i="1"/>
  <c r="S147" i="1"/>
  <c r="J78" i="1"/>
  <c r="K78" i="1" s="1"/>
  <c r="S111" i="1"/>
  <c r="S127" i="1"/>
  <c r="S139" i="1"/>
  <c r="J163" i="1"/>
  <c r="S171" i="1"/>
  <c r="J175" i="1"/>
  <c r="S183" i="1"/>
  <c r="J183" i="1"/>
  <c r="J116" i="1"/>
  <c r="J148" i="1"/>
  <c r="J81" i="1"/>
  <c r="S214" i="1"/>
  <c r="S124" i="1"/>
  <c r="C8" i="56"/>
  <c r="J101" i="1"/>
  <c r="S178" i="1"/>
  <c r="S110" i="1"/>
  <c r="S162" i="1"/>
  <c r="S167" i="1"/>
  <c r="J159" i="1"/>
  <c r="J108" i="1"/>
  <c r="J144" i="1"/>
  <c r="J176" i="1"/>
  <c r="S188" i="1"/>
  <c r="S192" i="1"/>
  <c r="S196" i="1"/>
  <c r="J97" i="1"/>
  <c r="J105" i="1"/>
  <c r="J117" i="1"/>
  <c r="J125" i="1"/>
  <c r="J193" i="1"/>
  <c r="S166" i="1"/>
  <c r="S182" i="1"/>
  <c r="S218" i="1"/>
  <c r="J62" i="1"/>
  <c r="S96" i="1"/>
  <c r="J120" i="1"/>
  <c r="J152" i="1"/>
  <c r="S164" i="1"/>
  <c r="J61" i="1"/>
  <c r="K61" i="1" s="1"/>
  <c r="V61" i="1" s="1"/>
  <c r="P60" i="26" s="1"/>
  <c r="J76" i="1"/>
  <c r="J168" i="1"/>
  <c r="S180" i="1"/>
  <c r="J180" i="1"/>
  <c r="J110" i="1"/>
  <c r="J134" i="1"/>
  <c r="J138" i="1"/>
  <c r="J142" i="1"/>
  <c r="J146" i="1"/>
  <c r="J150" i="1"/>
  <c r="J154" i="1"/>
  <c r="J198" i="1"/>
  <c r="J31" i="1"/>
  <c r="J197" i="1"/>
  <c r="J213" i="1"/>
  <c r="J103" i="1"/>
  <c r="J201" i="1"/>
  <c r="J151" i="1"/>
  <c r="J199" i="1"/>
  <c r="S203" i="1"/>
  <c r="S132" i="1"/>
  <c r="S143" i="1"/>
  <c r="S191" i="1"/>
  <c r="J91" i="1"/>
  <c r="S99" i="1"/>
  <c r="J107" i="1"/>
  <c r="S131" i="1"/>
  <c r="J139" i="1"/>
  <c r="J106" i="1"/>
  <c r="J130" i="1"/>
  <c r="H45" i="1"/>
  <c r="E45" i="26"/>
  <c r="S123" i="1"/>
  <c r="S98" i="1"/>
  <c r="AJ75" i="26"/>
  <c r="T75" i="26"/>
  <c r="AK75" i="26"/>
  <c r="D68" i="26"/>
  <c r="AJ68" i="26"/>
  <c r="AK68" i="26"/>
  <c r="Z30" i="26"/>
  <c r="Z20" i="26"/>
  <c r="C20" i="59"/>
  <c r="AK71" i="26"/>
  <c r="T71" i="26"/>
  <c r="AJ71" i="26"/>
  <c r="AJ59" i="26"/>
  <c r="AK59" i="26"/>
  <c r="D59" i="26"/>
  <c r="AK61" i="26"/>
  <c r="AJ61" i="26"/>
  <c r="AK73" i="26"/>
  <c r="AJ73" i="26"/>
  <c r="E82" i="26"/>
  <c r="AK66" i="26"/>
  <c r="AJ66" i="26"/>
  <c r="D66" i="26"/>
  <c r="Z51" i="26"/>
  <c r="X20" i="26"/>
  <c r="AK56" i="26"/>
  <c r="AJ56" i="26"/>
  <c r="X51" i="26"/>
  <c r="S206" i="1"/>
  <c r="R45" i="1"/>
  <c r="C31" i="59"/>
  <c r="Z27" i="26"/>
  <c r="S175" i="1"/>
  <c r="R29" i="26"/>
  <c r="M29" i="26" s="1"/>
  <c r="K29" i="26" s="1"/>
  <c r="Z29" i="26" s="1"/>
  <c r="V73" i="1"/>
  <c r="P72" i="26" s="1"/>
  <c r="C13" i="59"/>
  <c r="Z9" i="26"/>
  <c r="C32" i="59"/>
  <c r="Q45" i="1"/>
  <c r="S184" i="1"/>
  <c r="T9" i="1"/>
  <c r="H9" i="1"/>
  <c r="T77" i="1"/>
  <c r="C44" i="56"/>
  <c r="S49" i="1"/>
  <c r="S45" i="1" s="1"/>
  <c r="C91" i="56"/>
  <c r="F12" i="58" s="1"/>
  <c r="C21" i="59"/>
  <c r="X16" i="26"/>
  <c r="C52" i="56"/>
  <c r="C52" i="59"/>
  <c r="Z48" i="26"/>
  <c r="F27" i="58"/>
  <c r="X17" i="26"/>
  <c r="Z28" i="26"/>
  <c r="Z15" i="26"/>
  <c r="Q9" i="1"/>
  <c r="X15" i="26"/>
  <c r="T67" i="1"/>
  <c r="J45" i="1"/>
  <c r="J64" i="1"/>
  <c r="T64" i="1"/>
  <c r="S64" i="1"/>
  <c r="V54" i="1"/>
  <c r="P53" i="26" s="1"/>
  <c r="V85" i="1"/>
  <c r="P84" i="26" s="1"/>
  <c r="T83" i="1"/>
  <c r="S31" i="1"/>
  <c r="R9" i="1"/>
  <c r="T60" i="1"/>
  <c r="X14" i="26"/>
  <c r="C18" i="59"/>
  <c r="Z14" i="26"/>
  <c r="T81" i="1"/>
  <c r="S81" i="1"/>
  <c r="C36" i="59"/>
  <c r="X32" i="26"/>
  <c r="F217" i="1"/>
  <c r="G90" i="1"/>
  <c r="C10" i="60"/>
  <c r="S57" i="1"/>
  <c r="T57" i="1" s="1"/>
  <c r="T62" i="1"/>
  <c r="T74" i="1"/>
  <c r="S74" i="1"/>
  <c r="C41" i="59"/>
  <c r="Z37" i="26"/>
  <c r="T78" i="1"/>
  <c r="G9" i="1"/>
  <c r="C16" i="59"/>
  <c r="Z12" i="26"/>
  <c r="H53" i="1"/>
  <c r="C40" i="59"/>
  <c r="Z36" i="26"/>
  <c r="V71" i="1"/>
  <c r="P70" i="26" s="1"/>
  <c r="K9" i="1"/>
  <c r="M32" i="1"/>
  <c r="M9" i="1" s="1"/>
  <c r="M220" i="1" s="1"/>
  <c r="F56" i="1"/>
  <c r="G53" i="1"/>
  <c r="S76" i="1"/>
  <c r="T76" i="1" s="1"/>
  <c r="P208" i="1"/>
  <c r="Q90" i="1"/>
  <c r="T88" i="1"/>
  <c r="S88" i="1"/>
  <c r="C14" i="59"/>
  <c r="X10" i="26"/>
  <c r="Z10" i="26"/>
  <c r="J72" i="1"/>
  <c r="K72" i="1" s="1"/>
  <c r="T8" i="26"/>
  <c r="P8" i="26"/>
  <c r="S58" i="1"/>
  <c r="T58" i="1" s="1"/>
  <c r="R53" i="1"/>
  <c r="C50" i="59"/>
  <c r="X46" i="26"/>
  <c r="Z46" i="26"/>
  <c r="T69" i="1"/>
  <c r="S69" i="1"/>
  <c r="T72" i="1"/>
  <c r="S72" i="1"/>
  <c r="V87" i="1"/>
  <c r="P86" i="26" s="1"/>
  <c r="M86" i="26"/>
  <c r="X43" i="26"/>
  <c r="C47" i="59"/>
  <c r="Z43" i="26"/>
  <c r="X25" i="26"/>
  <c r="Z25" i="26"/>
  <c r="C29" i="59"/>
  <c r="C42" i="59"/>
  <c r="X38" i="26"/>
  <c r="Z38" i="26"/>
  <c r="Z42" i="26"/>
  <c r="C46" i="59"/>
  <c r="X42" i="26"/>
  <c r="C23" i="59"/>
  <c r="X19" i="26"/>
  <c r="Z19" i="26"/>
  <c r="Z41" i="26"/>
  <c r="X41" i="26"/>
  <c r="C45" i="59"/>
  <c r="C28" i="59"/>
  <c r="X24" i="26"/>
  <c r="Z24" i="26"/>
  <c r="C49" i="59"/>
  <c r="Z45" i="26"/>
  <c r="X45" i="26"/>
  <c r="X18" i="26"/>
  <c r="C22" i="59"/>
  <c r="Z18" i="26"/>
  <c r="X40" i="26"/>
  <c r="Z40" i="26"/>
  <c r="Z50" i="26"/>
  <c r="C54" i="59"/>
  <c r="X50" i="26"/>
  <c r="Z33" i="26"/>
  <c r="C37" i="59"/>
  <c r="X33" i="26"/>
  <c r="C38" i="59"/>
  <c r="X34" i="26"/>
  <c r="Z34" i="26"/>
  <c r="V75" i="1"/>
  <c r="P74" i="26" s="1"/>
  <c r="V86" i="1"/>
  <c r="P85" i="26" s="1"/>
  <c r="V63" i="1"/>
  <c r="P62" i="26" s="1"/>
  <c r="V84" i="1"/>
  <c r="P83" i="26" s="1"/>
  <c r="T59" i="1"/>
  <c r="V80" i="1"/>
  <c r="P79" i="26" s="1"/>
  <c r="E39" i="3"/>
  <c r="F20" i="58" l="1"/>
  <c r="F25" i="58"/>
  <c r="S29" i="26"/>
  <c r="O29" i="26" s="1"/>
  <c r="X29" i="26"/>
  <c r="V69" i="1"/>
  <c r="P68" i="26" s="1"/>
  <c r="T44" i="26"/>
  <c r="F47" i="58"/>
  <c r="V78" i="1"/>
  <c r="P77" i="26" s="1"/>
  <c r="F44" i="58"/>
  <c r="G220" i="1"/>
  <c r="R220" i="1"/>
  <c r="H220" i="1"/>
  <c r="F15" i="58"/>
  <c r="F39" i="58"/>
  <c r="F21" i="58"/>
  <c r="F17" i="58"/>
  <c r="H94" i="58"/>
  <c r="C89" i="56"/>
  <c r="F92" i="58" s="1"/>
  <c r="G30" i="58"/>
  <c r="F22" i="58"/>
  <c r="F41" i="58"/>
  <c r="G18" i="58"/>
  <c r="G23" i="58"/>
  <c r="G29" i="58"/>
  <c r="G37" i="58"/>
  <c r="G41" i="58"/>
  <c r="G46" i="58"/>
  <c r="H28" i="58"/>
  <c r="H33" i="58"/>
  <c r="H38" i="58"/>
  <c r="H42" i="58"/>
  <c r="F48" i="58"/>
  <c r="G49" i="58"/>
  <c r="F52" i="58"/>
  <c r="G53" i="58"/>
  <c r="F94" i="58"/>
  <c r="F18" i="58"/>
  <c r="F23" i="58"/>
  <c r="F30" i="58"/>
  <c r="F37" i="58"/>
  <c r="F42" i="58"/>
  <c r="G13" i="58"/>
  <c r="G19" i="58"/>
  <c r="G24" i="58"/>
  <c r="G31" i="58"/>
  <c r="G38" i="58"/>
  <c r="G42" i="58"/>
  <c r="H16" i="58"/>
  <c r="H20" i="58"/>
  <c r="H24" i="58"/>
  <c r="H29" i="58"/>
  <c r="H35" i="58"/>
  <c r="H39" i="58"/>
  <c r="H44" i="58"/>
  <c r="G48" i="58"/>
  <c r="H49" i="58"/>
  <c r="G52" i="58"/>
  <c r="H53" i="58"/>
  <c r="G92" i="58"/>
  <c r="F13" i="58"/>
  <c r="G33" i="58"/>
  <c r="H12" i="58"/>
  <c r="H17" i="58"/>
  <c r="H21" i="58"/>
  <c r="H25" i="58"/>
  <c r="H36" i="58"/>
  <c r="H40" i="58"/>
  <c r="H45" i="58"/>
  <c r="H48" i="58"/>
  <c r="H52" i="58"/>
  <c r="G22" i="58"/>
  <c r="H13" i="58"/>
  <c r="H37" i="58"/>
  <c r="H41" i="58"/>
  <c r="F45" i="58"/>
  <c r="G44" i="58"/>
  <c r="G45" i="58"/>
  <c r="F28" i="58"/>
  <c r="G47" i="58"/>
  <c r="G39" i="58"/>
  <c r="F19" i="58"/>
  <c r="H31" i="58"/>
  <c r="H15" i="58"/>
  <c r="G50" i="58"/>
  <c r="G21" i="58"/>
  <c r="G12" i="58"/>
  <c r="G36" i="58"/>
  <c r="H46" i="58"/>
  <c r="F40" i="58"/>
  <c r="F33" i="58"/>
  <c r="F24" i="58"/>
  <c r="F51" i="58"/>
  <c r="G35" i="58"/>
  <c r="G15" i="58"/>
  <c r="F46" i="58"/>
  <c r="H27" i="58"/>
  <c r="H54" i="58"/>
  <c r="G40" i="58"/>
  <c r="G51" i="58"/>
  <c r="H22" i="58"/>
  <c r="F38" i="58"/>
  <c r="G20" i="58"/>
  <c r="F53" i="58"/>
  <c r="F31" i="58"/>
  <c r="F54" i="58"/>
  <c r="H92" i="58"/>
  <c r="H23" i="58"/>
  <c r="H50" i="58"/>
  <c r="G28" i="58"/>
  <c r="H30" i="58"/>
  <c r="G25" i="58"/>
  <c r="G17" i="58"/>
  <c r="F29" i="58"/>
  <c r="H18" i="58"/>
  <c r="H47" i="58"/>
  <c r="G94" i="58"/>
  <c r="F16" i="58"/>
  <c r="H51" i="58"/>
  <c r="G27" i="58"/>
  <c r="F50" i="58"/>
  <c r="F35" i="58"/>
  <c r="H19" i="58"/>
  <c r="G54" i="58"/>
  <c r="G16" i="58"/>
  <c r="F49" i="58"/>
  <c r="F36" i="58"/>
  <c r="V72" i="1"/>
  <c r="P71" i="26" s="1"/>
  <c r="J217" i="1"/>
  <c r="J90" i="1" s="1"/>
  <c r="F90" i="1"/>
  <c r="S53" i="1"/>
  <c r="P90" i="1"/>
  <c r="S208" i="1"/>
  <c r="S90" i="1" s="1"/>
  <c r="J56" i="1"/>
  <c r="T53" i="1"/>
  <c r="T220" i="1" s="1"/>
  <c r="P44" i="26"/>
  <c r="F11" i="58" l="1"/>
  <c r="G11" i="58"/>
  <c r="H11" i="58"/>
  <c r="V90" i="1"/>
  <c r="K56" i="1"/>
  <c r="V56" i="1" l="1"/>
  <c r="P55" i="26" l="1"/>
  <c r="AB14" i="57" l="1"/>
  <c r="AG47" i="55"/>
  <c r="AH47" i="55" s="1"/>
  <c r="AB47" i="54"/>
  <c r="AB47" i="55" l="1"/>
  <c r="AR47" i="54"/>
  <c r="AD47" i="54"/>
  <c r="AQ47" i="55" l="1"/>
  <c r="AD47" i="55"/>
  <c r="AS47" i="55" s="1"/>
  <c r="AI47" i="55"/>
  <c r="AB13" i="57"/>
  <c r="AT47" i="54"/>
  <c r="F12" i="66" l="1"/>
  <c r="C12" i="66"/>
  <c r="F10" i="66"/>
  <c r="C10" i="66" l="1"/>
  <c r="F17" i="66"/>
  <c r="C17" i="66"/>
  <c r="F15" i="66"/>
  <c r="C15" i="66"/>
  <c r="F14" i="66"/>
  <c r="F13" i="66"/>
  <c r="C13" i="66"/>
  <c r="F11" i="66"/>
  <c r="C14" i="66" l="1"/>
  <c r="C11" i="66" l="1"/>
  <c r="F10" i="1" l="1"/>
  <c r="P10" i="1"/>
  <c r="P41" i="1"/>
  <c r="S41" i="1" s="1"/>
  <c r="F41" i="1"/>
  <c r="J41" i="1" s="1"/>
  <c r="P39" i="1"/>
  <c r="S39" i="1" s="1"/>
  <c r="F39" i="1"/>
  <c r="J39" i="1" s="1"/>
  <c r="P34" i="1"/>
  <c r="S34" i="1" s="1"/>
  <c r="F34" i="1"/>
  <c r="J34" i="1" s="1"/>
  <c r="P27" i="1"/>
  <c r="S27" i="1" s="1"/>
  <c r="F27" i="1"/>
  <c r="J27" i="1" s="1"/>
  <c r="P26" i="1"/>
  <c r="S26" i="1" s="1"/>
  <c r="F26" i="1"/>
  <c r="J26" i="1" s="1"/>
  <c r="F19" i="1"/>
  <c r="J19" i="1" s="1"/>
  <c r="P19" i="1"/>
  <c r="S19" i="1" s="1"/>
  <c r="V43" i="54"/>
  <c r="V41" i="54"/>
  <c r="V40" i="54"/>
  <c r="V27" i="54"/>
  <c r="V51" i="54"/>
  <c r="V50" i="54"/>
  <c r="V33" i="54"/>
  <c r="V32" i="54"/>
  <c r="V30" i="54"/>
  <c r="V26" i="54"/>
  <c r="V49" i="54"/>
  <c r="V22" i="54"/>
  <c r="V46" i="54"/>
  <c r="V13" i="54"/>
  <c r="V12" i="54"/>
  <c r="V45" i="54"/>
  <c r="V9" i="54"/>
  <c r="U43" i="54"/>
  <c r="U41" i="54"/>
  <c r="U40" i="54"/>
  <c r="U27" i="54"/>
  <c r="U51" i="54"/>
  <c r="U50" i="54"/>
  <c r="U33" i="54"/>
  <c r="U32" i="54"/>
  <c r="U30" i="54"/>
  <c r="U26" i="54"/>
  <c r="U49" i="54"/>
  <c r="U22" i="54"/>
  <c r="U46" i="54"/>
  <c r="U13" i="54"/>
  <c r="U12" i="54"/>
  <c r="U45" i="54"/>
  <c r="U9" i="54"/>
  <c r="T43" i="54"/>
  <c r="T41" i="54"/>
  <c r="T40" i="54"/>
  <c r="T27" i="54"/>
  <c r="T51" i="54"/>
  <c r="T50" i="54"/>
  <c r="T33" i="54"/>
  <c r="T32" i="54"/>
  <c r="T30" i="54"/>
  <c r="T26" i="54"/>
  <c r="T49" i="54"/>
  <c r="T22" i="54"/>
  <c r="T46" i="54"/>
  <c r="T13" i="54"/>
  <c r="T12" i="54"/>
  <c r="T45" i="54"/>
  <c r="T9" i="54"/>
  <c r="S43" i="54"/>
  <c r="S41" i="54"/>
  <c r="S40" i="54"/>
  <c r="S27" i="54"/>
  <c r="S51" i="54"/>
  <c r="S50" i="54"/>
  <c r="S33" i="54"/>
  <c r="S32" i="54"/>
  <c r="S30" i="54"/>
  <c r="S26" i="54"/>
  <c r="S49" i="54"/>
  <c r="S22" i="54"/>
  <c r="S46" i="54"/>
  <c r="S13" i="54"/>
  <c r="S12" i="54"/>
  <c r="S45" i="54"/>
  <c r="S9" i="54"/>
  <c r="R43" i="54"/>
  <c r="R41" i="54"/>
  <c r="R40" i="54"/>
  <c r="R27" i="54"/>
  <c r="R51" i="54"/>
  <c r="R50" i="54"/>
  <c r="R33" i="54"/>
  <c r="R32" i="54"/>
  <c r="R30" i="54"/>
  <c r="R26" i="54"/>
  <c r="R49" i="54"/>
  <c r="R22" i="54"/>
  <c r="R46" i="54"/>
  <c r="R13" i="54"/>
  <c r="R12" i="54"/>
  <c r="R45" i="54"/>
  <c r="R9" i="54"/>
  <c r="Q43" i="54"/>
  <c r="Q41" i="54"/>
  <c r="Q40" i="54"/>
  <c r="Q27" i="54"/>
  <c r="Q51" i="54"/>
  <c r="Q50" i="54"/>
  <c r="Q33" i="54"/>
  <c r="Q32" i="54"/>
  <c r="Q30" i="54"/>
  <c r="Q26" i="54"/>
  <c r="Q49" i="54"/>
  <c r="Q22" i="54"/>
  <c r="Q46" i="54"/>
  <c r="Q13" i="54"/>
  <c r="Q12" i="54"/>
  <c r="Q45" i="54"/>
  <c r="Q9" i="54"/>
  <c r="F83" i="1"/>
  <c r="H82" i="26"/>
  <c r="P22" i="54" l="1"/>
  <c r="P27" i="54"/>
  <c r="P46" i="54"/>
  <c r="P51" i="54"/>
  <c r="P13" i="54"/>
  <c r="P50" i="54"/>
  <c r="P12" i="54"/>
  <c r="P33" i="54"/>
  <c r="P49" i="54"/>
  <c r="P40" i="54"/>
  <c r="P26" i="54"/>
  <c r="P41" i="54"/>
  <c r="P30" i="54"/>
  <c r="P43" i="54"/>
  <c r="P32" i="54"/>
  <c r="Q90" i="55"/>
  <c r="Q90" i="54"/>
  <c r="Q96" i="55"/>
  <c r="Q96" i="54"/>
  <c r="S90" i="54"/>
  <c r="S90" i="55"/>
  <c r="S96" i="55"/>
  <c r="S96" i="54"/>
  <c r="U90" i="54"/>
  <c r="U90" i="55"/>
  <c r="U96" i="54"/>
  <c r="U96" i="55"/>
  <c r="P9" i="54"/>
  <c r="Q97" i="54"/>
  <c r="Q97" i="55"/>
  <c r="R95" i="55"/>
  <c r="R95" i="54"/>
  <c r="S97" i="54"/>
  <c r="S97" i="55"/>
  <c r="T95" i="54"/>
  <c r="T95" i="55"/>
  <c r="U97" i="54"/>
  <c r="U97" i="55"/>
  <c r="V95" i="55"/>
  <c r="V95" i="54"/>
  <c r="J83" i="1"/>
  <c r="J53" i="1" s="1"/>
  <c r="V83" i="1"/>
  <c r="P82" i="26" s="1"/>
  <c r="F53" i="1"/>
  <c r="P45" i="54"/>
  <c r="R91" i="55"/>
  <c r="R91" i="54"/>
  <c r="R93" i="55"/>
  <c r="R93" i="54"/>
  <c r="T91" i="55"/>
  <c r="T91" i="54"/>
  <c r="T93" i="55"/>
  <c r="T93" i="54"/>
  <c r="V91" i="55"/>
  <c r="V91" i="54"/>
  <c r="V93" i="54"/>
  <c r="V93" i="55"/>
  <c r="Q92" i="55"/>
  <c r="Q92" i="54"/>
  <c r="Q94" i="54"/>
  <c r="Q94" i="55"/>
  <c r="S92" i="55"/>
  <c r="S92" i="54"/>
  <c r="S94" i="55"/>
  <c r="S94" i="54"/>
  <c r="U92" i="54"/>
  <c r="U92" i="55"/>
  <c r="U94" i="55"/>
  <c r="U94" i="54"/>
  <c r="J9" i="1"/>
  <c r="R90" i="54"/>
  <c r="R90" i="55"/>
  <c r="R96" i="55"/>
  <c r="R96" i="54"/>
  <c r="T90" i="54"/>
  <c r="T90" i="55"/>
  <c r="T96" i="55"/>
  <c r="T96" i="54"/>
  <c r="V90" i="54"/>
  <c r="V90" i="55"/>
  <c r="V96" i="55"/>
  <c r="V96" i="54"/>
  <c r="S10" i="1"/>
  <c r="S9" i="1" s="1"/>
  <c r="S220" i="1" s="1"/>
  <c r="P9" i="1"/>
  <c r="P220" i="1" s="1"/>
  <c r="Q95" i="54"/>
  <c r="Q95" i="55"/>
  <c r="R97" i="54"/>
  <c r="R97" i="55"/>
  <c r="S95" i="54"/>
  <c r="S95" i="55"/>
  <c r="T97" i="55"/>
  <c r="T97" i="54"/>
  <c r="U95" i="55"/>
  <c r="U95" i="54"/>
  <c r="V97" i="55"/>
  <c r="V97" i="54"/>
  <c r="F9" i="1"/>
  <c r="Q91" i="54"/>
  <c r="Q91" i="55"/>
  <c r="Q93" i="55"/>
  <c r="Q93" i="54"/>
  <c r="S91" i="54"/>
  <c r="S91" i="55"/>
  <c r="S93" i="55"/>
  <c r="S93" i="54"/>
  <c r="U91" i="54"/>
  <c r="U91" i="55"/>
  <c r="U93" i="54"/>
  <c r="U93" i="55"/>
  <c r="R92" i="55"/>
  <c r="R92" i="54"/>
  <c r="R94" i="55"/>
  <c r="R94" i="54"/>
  <c r="T92" i="54"/>
  <c r="T92" i="55"/>
  <c r="T94" i="55"/>
  <c r="T94" i="54"/>
  <c r="V92" i="54"/>
  <c r="V92" i="55"/>
  <c r="V94" i="55"/>
  <c r="V94" i="54"/>
  <c r="P96" i="55" l="1"/>
  <c r="P92" i="54"/>
  <c r="T89" i="55"/>
  <c r="P91" i="54"/>
  <c r="P94" i="55"/>
  <c r="P96" i="54"/>
  <c r="T89" i="54"/>
  <c r="P92" i="55"/>
  <c r="U89" i="54"/>
  <c r="P93" i="54"/>
  <c r="P95" i="55"/>
  <c r="V89" i="55"/>
  <c r="R89" i="55"/>
  <c r="P97" i="55"/>
  <c r="P94" i="54"/>
  <c r="U89" i="55"/>
  <c r="P93" i="55"/>
  <c r="P95" i="54"/>
  <c r="V89" i="54"/>
  <c r="R89" i="54"/>
  <c r="P97" i="54"/>
  <c r="S89" i="55"/>
  <c r="P91" i="55"/>
  <c r="S89" i="54"/>
  <c r="J220" i="1"/>
  <c r="T79" i="26"/>
  <c r="T69" i="26"/>
  <c r="T86" i="26"/>
  <c r="T88" i="26"/>
  <c r="T84" i="26"/>
  <c r="T74" i="26"/>
  <c r="T65" i="26"/>
  <c r="T64" i="26"/>
  <c r="T78" i="26"/>
  <c r="T70" i="26"/>
  <c r="T67" i="26"/>
  <c r="T85" i="26"/>
  <c r="T83" i="26"/>
  <c r="T72" i="26"/>
  <c r="T53" i="26"/>
  <c r="T62" i="26"/>
  <c r="T57" i="26"/>
  <c r="T81" i="26"/>
  <c r="T55" i="26"/>
  <c r="T82" i="26"/>
  <c r="T80" i="26"/>
  <c r="T76" i="26"/>
  <c r="T87" i="26"/>
  <c r="T60" i="26"/>
  <c r="T54" i="26"/>
  <c r="T68" i="26"/>
  <c r="T73" i="26"/>
  <c r="T66" i="26"/>
  <c r="T59" i="26"/>
  <c r="T61" i="26"/>
  <c r="T56" i="26"/>
  <c r="Q89" i="54"/>
  <c r="P90" i="54"/>
  <c r="Q89" i="55"/>
  <c r="P90" i="55"/>
  <c r="F220" i="1"/>
  <c r="F226" i="1" s="1"/>
  <c r="P89" i="54" l="1"/>
  <c r="P89" i="55"/>
  <c r="T52" i="26"/>
  <c r="T89" i="26" s="1"/>
  <c r="T90" i="26" l="1"/>
  <c r="P89" i="26"/>
  <c r="H88" i="26" l="1"/>
  <c r="L88" i="26"/>
  <c r="Y88" i="26" l="1"/>
  <c r="K88" i="26"/>
  <c r="E88" i="26"/>
  <c r="Z88" i="26" l="1"/>
  <c r="X88" i="26"/>
  <c r="H53" i="26" l="1"/>
  <c r="H62" i="26"/>
  <c r="H63" i="26"/>
  <c r="H64" i="26"/>
  <c r="H65" i="26"/>
  <c r="H67" i="26"/>
  <c r="H69" i="26"/>
  <c r="H70" i="26"/>
  <c r="H71" i="26"/>
  <c r="H72" i="26"/>
  <c r="H74" i="26"/>
  <c r="H78" i="26"/>
  <c r="H79" i="26"/>
  <c r="H83" i="26"/>
  <c r="H84" i="26"/>
  <c r="H85" i="26"/>
  <c r="H86" i="26"/>
  <c r="H49" i="26"/>
  <c r="H44" i="26" s="1"/>
  <c r="L49" i="26" l="1"/>
  <c r="Y49" i="26" l="1"/>
  <c r="L44" i="26"/>
  <c r="Y44" i="26" s="1"/>
  <c r="E49" i="26"/>
  <c r="K49" i="26"/>
  <c r="Z49" i="26" l="1"/>
  <c r="K44" i="26"/>
  <c r="Z44" i="26" s="1"/>
  <c r="C53" i="59"/>
  <c r="C48" i="59" s="1"/>
  <c r="X49" i="26"/>
  <c r="M42" i="54" l="1"/>
  <c r="N42" i="54"/>
  <c r="M39" i="54"/>
  <c r="N39" i="54"/>
  <c r="M38" i="54"/>
  <c r="N38" i="54"/>
  <c r="M37" i="54"/>
  <c r="N37" i="54"/>
  <c r="M36" i="54"/>
  <c r="N36" i="54"/>
  <c r="M35" i="54"/>
  <c r="N35" i="54"/>
  <c r="M34" i="54"/>
  <c r="N34" i="54"/>
  <c r="M31" i="54"/>
  <c r="N31" i="54"/>
  <c r="M29" i="54"/>
  <c r="N29" i="54"/>
  <c r="M28" i="54"/>
  <c r="N28" i="54"/>
  <c r="N25" i="54"/>
  <c r="M23" i="54"/>
  <c r="N23" i="54"/>
  <c r="M21" i="54"/>
  <c r="N21" i="54"/>
  <c r="M20" i="54"/>
  <c r="L20" i="54" s="1"/>
  <c r="N20" i="54"/>
  <c r="N19" i="54"/>
  <c r="M18" i="54"/>
  <c r="N18" i="54"/>
  <c r="M17" i="54"/>
  <c r="N17" i="54"/>
  <c r="M16" i="54"/>
  <c r="N16" i="54"/>
  <c r="M15" i="54"/>
  <c r="M14" i="54"/>
  <c r="M11" i="54"/>
  <c r="M10" i="54"/>
  <c r="Y42" i="54"/>
  <c r="Y39" i="54"/>
  <c r="Y37" i="54"/>
  <c r="X36" i="54"/>
  <c r="W36" i="54" s="1"/>
  <c r="Y36" i="54"/>
  <c r="Y35" i="54"/>
  <c r="Y34" i="54"/>
  <c r="Y31" i="54"/>
  <c r="X28" i="54"/>
  <c r="Y28" i="54"/>
  <c r="Y25" i="54"/>
  <c r="Y23" i="54"/>
  <c r="Y21" i="54"/>
  <c r="Y20" i="54"/>
  <c r="Y19" i="54"/>
  <c r="Y17" i="54"/>
  <c r="X16" i="54"/>
  <c r="Y16" i="54"/>
  <c r="Y15" i="54"/>
  <c r="X14" i="54"/>
  <c r="Y14" i="54"/>
  <c r="Y11" i="54"/>
  <c r="Y10" i="54"/>
  <c r="K42" i="54"/>
  <c r="J42" i="54"/>
  <c r="I42" i="54"/>
  <c r="H42" i="54"/>
  <c r="G42" i="54"/>
  <c r="F42" i="54"/>
  <c r="K39" i="54"/>
  <c r="J39" i="54"/>
  <c r="I39" i="54"/>
  <c r="H39" i="54"/>
  <c r="G39" i="54"/>
  <c r="F39" i="54"/>
  <c r="K38" i="54"/>
  <c r="J38" i="54"/>
  <c r="I38" i="54"/>
  <c r="H38" i="54"/>
  <c r="G38" i="54"/>
  <c r="F38" i="54"/>
  <c r="K37" i="54"/>
  <c r="J37" i="54"/>
  <c r="I37" i="54"/>
  <c r="H37" i="54"/>
  <c r="G37" i="54"/>
  <c r="F37" i="54"/>
  <c r="K36" i="54"/>
  <c r="J36" i="54"/>
  <c r="I36" i="54"/>
  <c r="H36" i="54"/>
  <c r="G36" i="54"/>
  <c r="F36" i="54"/>
  <c r="K35" i="54"/>
  <c r="J35" i="54"/>
  <c r="I35" i="54"/>
  <c r="H35" i="54"/>
  <c r="G35" i="54"/>
  <c r="F35" i="54"/>
  <c r="K34" i="54"/>
  <c r="J34" i="54"/>
  <c r="I34" i="54"/>
  <c r="H34" i="54"/>
  <c r="G34" i="54"/>
  <c r="F34" i="54"/>
  <c r="K31" i="54"/>
  <c r="J31" i="54"/>
  <c r="I31" i="54"/>
  <c r="H31" i="54"/>
  <c r="G31" i="54"/>
  <c r="F31" i="54"/>
  <c r="K29" i="54"/>
  <c r="J29" i="54"/>
  <c r="I29" i="54"/>
  <c r="H29" i="54"/>
  <c r="G29" i="54"/>
  <c r="F29" i="54"/>
  <c r="K28" i="54"/>
  <c r="J28" i="54"/>
  <c r="H28" i="54"/>
  <c r="G28" i="54"/>
  <c r="F28" i="54"/>
  <c r="K25" i="54"/>
  <c r="J25" i="54"/>
  <c r="I25" i="54"/>
  <c r="H25" i="54"/>
  <c r="G25" i="54"/>
  <c r="F25" i="54"/>
  <c r="K23" i="54"/>
  <c r="J23" i="54"/>
  <c r="I23" i="54"/>
  <c r="H23" i="54"/>
  <c r="G23" i="54"/>
  <c r="F23" i="54"/>
  <c r="K21" i="54"/>
  <c r="J21" i="54"/>
  <c r="I21" i="54"/>
  <c r="H21" i="54"/>
  <c r="G21" i="54"/>
  <c r="F21" i="54"/>
  <c r="K20" i="54"/>
  <c r="J20" i="54"/>
  <c r="I20" i="54"/>
  <c r="H20" i="54"/>
  <c r="G20" i="54"/>
  <c r="F20" i="54"/>
  <c r="K19" i="54"/>
  <c r="J19" i="54"/>
  <c r="I19" i="54"/>
  <c r="H19" i="54"/>
  <c r="G19" i="54"/>
  <c r="F19" i="54"/>
  <c r="K18" i="54"/>
  <c r="J18" i="54"/>
  <c r="I18" i="54"/>
  <c r="H18" i="54"/>
  <c r="G18" i="54"/>
  <c r="F18" i="54"/>
  <c r="K17" i="54"/>
  <c r="J17" i="54"/>
  <c r="I17" i="54"/>
  <c r="H17" i="54"/>
  <c r="G17" i="54"/>
  <c r="F17" i="54"/>
  <c r="K16" i="54"/>
  <c r="J16" i="54"/>
  <c r="I16" i="54"/>
  <c r="H16" i="54"/>
  <c r="G16" i="54"/>
  <c r="F16" i="54"/>
  <c r="K15" i="54"/>
  <c r="J15" i="54"/>
  <c r="I15" i="54"/>
  <c r="H15" i="54"/>
  <c r="G15" i="54"/>
  <c r="F15" i="54"/>
  <c r="K14" i="54"/>
  <c r="J14" i="54"/>
  <c r="I14" i="54"/>
  <c r="H14" i="54"/>
  <c r="G14" i="54"/>
  <c r="F14" i="54"/>
  <c r="K11" i="54"/>
  <c r="J11" i="54"/>
  <c r="I11" i="54"/>
  <c r="H11" i="54"/>
  <c r="G11" i="54"/>
  <c r="F11" i="54"/>
  <c r="K10" i="54"/>
  <c r="J10" i="54"/>
  <c r="I10" i="54"/>
  <c r="H10" i="54"/>
  <c r="G10" i="54"/>
  <c r="F10" i="54"/>
  <c r="Q11" i="54"/>
  <c r="V42" i="54"/>
  <c r="U42" i="54"/>
  <c r="T42" i="54"/>
  <c r="S42" i="54"/>
  <c r="Q42" i="54"/>
  <c r="V39" i="54"/>
  <c r="U39" i="54"/>
  <c r="T39" i="54"/>
  <c r="S39" i="54"/>
  <c r="R39" i="54"/>
  <c r="Q39" i="54"/>
  <c r="V38" i="54"/>
  <c r="U38" i="54"/>
  <c r="T38" i="54"/>
  <c r="S38" i="54"/>
  <c r="R38" i="54"/>
  <c r="Q38" i="54"/>
  <c r="V37" i="54"/>
  <c r="T37" i="54"/>
  <c r="S37" i="54"/>
  <c r="R37" i="54"/>
  <c r="Q37" i="54"/>
  <c r="V36" i="54"/>
  <c r="T36" i="54"/>
  <c r="S36" i="54"/>
  <c r="R36" i="54"/>
  <c r="Q36" i="54"/>
  <c r="V35" i="54"/>
  <c r="U35" i="54"/>
  <c r="T35" i="54"/>
  <c r="S35" i="54"/>
  <c r="R35" i="54"/>
  <c r="Q35" i="54"/>
  <c r="V34" i="54"/>
  <c r="U34" i="54"/>
  <c r="T34" i="54"/>
  <c r="S34" i="54"/>
  <c r="R34" i="54"/>
  <c r="Q34" i="54"/>
  <c r="V31" i="54"/>
  <c r="U31" i="54"/>
  <c r="T31" i="54"/>
  <c r="S31" i="54"/>
  <c r="R31" i="54"/>
  <c r="Q31" i="54"/>
  <c r="V29" i="54"/>
  <c r="U29" i="54"/>
  <c r="T29" i="54"/>
  <c r="S29" i="54"/>
  <c r="R29" i="54"/>
  <c r="Q29" i="54"/>
  <c r="V28" i="54"/>
  <c r="U28" i="54"/>
  <c r="T28" i="54"/>
  <c r="S28" i="54"/>
  <c r="R28" i="54"/>
  <c r="Q28" i="54"/>
  <c r="V25" i="54"/>
  <c r="U25" i="54"/>
  <c r="T25" i="54"/>
  <c r="S25" i="54"/>
  <c r="R25" i="54"/>
  <c r="Q25" i="54"/>
  <c r="V23" i="54"/>
  <c r="U23" i="54"/>
  <c r="T23" i="54"/>
  <c r="S23" i="54"/>
  <c r="R23" i="54"/>
  <c r="Q23" i="54"/>
  <c r="V21" i="54"/>
  <c r="U21" i="54"/>
  <c r="T21" i="54"/>
  <c r="S21" i="54"/>
  <c r="R21" i="54"/>
  <c r="Q21" i="54"/>
  <c r="V20" i="54"/>
  <c r="U20" i="54"/>
  <c r="T20" i="54"/>
  <c r="S20" i="54"/>
  <c r="R20" i="54"/>
  <c r="Q20" i="54"/>
  <c r="V19" i="54"/>
  <c r="U19" i="54"/>
  <c r="T19" i="54"/>
  <c r="S19" i="54"/>
  <c r="R19" i="54"/>
  <c r="Q19" i="54"/>
  <c r="V18" i="54"/>
  <c r="U18" i="54"/>
  <c r="T18" i="54"/>
  <c r="S18" i="54"/>
  <c r="R18" i="54"/>
  <c r="Q18" i="54"/>
  <c r="V17" i="54"/>
  <c r="U17" i="54"/>
  <c r="T17" i="54"/>
  <c r="S17" i="54"/>
  <c r="R17" i="54"/>
  <c r="Q17" i="54"/>
  <c r="V16" i="54"/>
  <c r="U16" i="54"/>
  <c r="T16" i="54"/>
  <c r="S16" i="54"/>
  <c r="R16" i="54"/>
  <c r="Q16" i="54"/>
  <c r="V15" i="54"/>
  <c r="U15" i="54"/>
  <c r="T15" i="54"/>
  <c r="S15" i="54"/>
  <c r="R15" i="54"/>
  <c r="Q15" i="54"/>
  <c r="V14" i="54"/>
  <c r="U14" i="54"/>
  <c r="T14" i="54"/>
  <c r="S14" i="54"/>
  <c r="R14" i="54"/>
  <c r="Q14" i="54"/>
  <c r="V11" i="54"/>
  <c r="U11" i="54"/>
  <c r="T11" i="54"/>
  <c r="S11" i="54"/>
  <c r="R11" i="54"/>
  <c r="V10" i="54"/>
  <c r="U10" i="54"/>
  <c r="T10" i="54"/>
  <c r="S10" i="54"/>
  <c r="R10" i="54"/>
  <c r="Q10" i="54"/>
  <c r="L36" i="54" l="1"/>
  <c r="L42" i="54"/>
  <c r="W28" i="54"/>
  <c r="L34" i="54"/>
  <c r="L21" i="54"/>
  <c r="L17" i="54"/>
  <c r="L31" i="54"/>
  <c r="L37" i="54"/>
  <c r="L28" i="54"/>
  <c r="W16" i="54"/>
  <c r="Y18" i="54"/>
  <c r="W14" i="54"/>
  <c r="Y29" i="54"/>
  <c r="Y38" i="54"/>
  <c r="P14" i="54"/>
  <c r="P16" i="54"/>
  <c r="P18" i="54"/>
  <c r="P20" i="54"/>
  <c r="P23" i="54"/>
  <c r="P28" i="54"/>
  <c r="O28" i="54" s="1"/>
  <c r="P29" i="54"/>
  <c r="P31" i="54"/>
  <c r="P35" i="54"/>
  <c r="P38" i="54"/>
  <c r="R42" i="54"/>
  <c r="P42" i="54" s="1"/>
  <c r="P11" i="54"/>
  <c r="P15" i="54"/>
  <c r="P19" i="54"/>
  <c r="P21" i="54"/>
  <c r="P25" i="54"/>
  <c r="P34" i="54"/>
  <c r="U37" i="54"/>
  <c r="P37" i="54" s="1"/>
  <c r="U36" i="54"/>
  <c r="P36" i="54" s="1"/>
  <c r="O36" i="54" s="1"/>
  <c r="P39" i="54"/>
  <c r="P17" i="54"/>
  <c r="P10" i="54"/>
  <c r="L16" i="54"/>
  <c r="L38" i="54"/>
  <c r="M19" i="54"/>
  <c r="L19" i="54" s="1"/>
  <c r="M25" i="54"/>
  <c r="L25" i="54" s="1"/>
  <c r="L39" i="54"/>
  <c r="L35" i="54"/>
  <c r="L23" i="54"/>
  <c r="N10" i="54"/>
  <c r="N15" i="54"/>
  <c r="L15" i="54" s="1"/>
  <c r="L18" i="54"/>
  <c r="L10" i="54"/>
  <c r="L29" i="54"/>
  <c r="N11" i="54"/>
  <c r="L11" i="54" s="1"/>
  <c r="N14" i="54"/>
  <c r="L14" i="54" s="1"/>
  <c r="E11" i="54"/>
  <c r="E14" i="54"/>
  <c r="E18" i="54"/>
  <c r="E23" i="54"/>
  <c r="E29" i="54"/>
  <c r="E35" i="54"/>
  <c r="E38" i="54"/>
  <c r="E10" i="54"/>
  <c r="E17" i="54"/>
  <c r="E21" i="54"/>
  <c r="D21" i="54" s="1"/>
  <c r="E34" i="54"/>
  <c r="D34" i="54" s="1"/>
  <c r="E37" i="54"/>
  <c r="D37" i="54" s="1"/>
  <c r="E16" i="54"/>
  <c r="D16" i="54" s="1"/>
  <c r="E20" i="54"/>
  <c r="D20" i="54" s="1"/>
  <c r="E28" i="54"/>
  <c r="D28" i="54" s="1"/>
  <c r="E31" i="54"/>
  <c r="D31" i="54" s="1"/>
  <c r="E36" i="54"/>
  <c r="D36" i="54" s="1"/>
  <c r="E42" i="54"/>
  <c r="D42" i="54" s="1"/>
  <c r="E15" i="54"/>
  <c r="E19" i="54"/>
  <c r="E25" i="54"/>
  <c r="E39" i="54"/>
  <c r="D17" i="54" l="1"/>
  <c r="D38" i="54"/>
  <c r="D18" i="54"/>
  <c r="O16" i="54"/>
  <c r="O14" i="54"/>
  <c r="D39" i="54"/>
  <c r="D14" i="54"/>
  <c r="D11" i="54"/>
  <c r="D19" i="54"/>
  <c r="D29" i="54"/>
  <c r="D25" i="54"/>
  <c r="D35" i="54"/>
  <c r="D15" i="54"/>
  <c r="D23" i="54"/>
  <c r="D10" i="54"/>
  <c r="U82" i="26"/>
  <c r="U52" i="26" s="1"/>
  <c r="U90" i="26" s="1"/>
  <c r="L82" i="26"/>
  <c r="Y82" i="26" l="1"/>
  <c r="K82" i="26"/>
  <c r="X82" i="26" l="1"/>
  <c r="Z82" i="26"/>
  <c r="AC71" i="26" l="1"/>
  <c r="F40" i="54" l="1"/>
  <c r="H9" i="54"/>
  <c r="F41" i="54"/>
  <c r="H45" i="54"/>
  <c r="K45" i="54"/>
  <c r="G12" i="54"/>
  <c r="G46" i="54"/>
  <c r="G22" i="54"/>
  <c r="G49" i="54"/>
  <c r="G30" i="54"/>
  <c r="G33" i="54"/>
  <c r="G40" i="54"/>
  <c r="H12" i="54"/>
  <c r="H13" i="54"/>
  <c r="H46" i="54"/>
  <c r="H22" i="54"/>
  <c r="H49" i="54"/>
  <c r="H26" i="54"/>
  <c r="H30" i="54"/>
  <c r="H32" i="54"/>
  <c r="H33" i="54"/>
  <c r="H50" i="54"/>
  <c r="H51" i="54"/>
  <c r="H27" i="54"/>
  <c r="H40" i="54"/>
  <c r="H41" i="54"/>
  <c r="H43" i="54"/>
  <c r="I13" i="54"/>
  <c r="K13" i="54"/>
  <c r="I22" i="54"/>
  <c r="I50" i="54"/>
  <c r="I51" i="54"/>
  <c r="I41" i="54"/>
  <c r="J45" i="54"/>
  <c r="J51" i="54"/>
  <c r="J43" i="54"/>
  <c r="K49" i="54"/>
  <c r="K26" i="54"/>
  <c r="K50" i="54"/>
  <c r="K51" i="54"/>
  <c r="K40" i="54"/>
  <c r="N14" i="55"/>
  <c r="N15" i="55"/>
  <c r="N17" i="55"/>
  <c r="M18" i="55"/>
  <c r="M20" i="55"/>
  <c r="N21" i="55"/>
  <c r="M25" i="55"/>
  <c r="N31" i="55"/>
  <c r="N35" i="55"/>
  <c r="M37" i="55"/>
  <c r="M39" i="55"/>
  <c r="M42" i="55"/>
  <c r="M11" i="55"/>
  <c r="N23" i="55"/>
  <c r="M23" i="55"/>
  <c r="L23" i="55" s="1"/>
  <c r="N37" i="55"/>
  <c r="N42" i="55"/>
  <c r="J11" i="26"/>
  <c r="I11" i="26" s="1"/>
  <c r="J15" i="26"/>
  <c r="I15" i="26" s="1"/>
  <c r="J16" i="26"/>
  <c r="I16" i="26" s="1"/>
  <c r="J23" i="26"/>
  <c r="I23" i="26" s="1"/>
  <c r="J20" i="26"/>
  <c r="I20" i="26" s="1"/>
  <c r="J38" i="26"/>
  <c r="I38" i="26" s="1"/>
  <c r="J18" i="26"/>
  <c r="I18" i="26" s="1"/>
  <c r="J25" i="26"/>
  <c r="I25" i="26" s="1"/>
  <c r="J28" i="26"/>
  <c r="I28" i="26" s="1"/>
  <c r="J29" i="26"/>
  <c r="I29" i="26" s="1"/>
  <c r="J21" i="26"/>
  <c r="I21" i="26" s="1"/>
  <c r="J31" i="26"/>
  <c r="I31" i="26" s="1"/>
  <c r="J10" i="26"/>
  <c r="I10" i="26" s="1"/>
  <c r="J34" i="26"/>
  <c r="I34" i="26" s="1"/>
  <c r="J35" i="26"/>
  <c r="I35" i="26" s="1"/>
  <c r="J37" i="26"/>
  <c r="I37" i="26" s="1"/>
  <c r="J17" i="26"/>
  <c r="I17" i="26" s="1"/>
  <c r="J39" i="26"/>
  <c r="I39" i="26" s="1"/>
  <c r="J42" i="26"/>
  <c r="I42" i="26" s="1"/>
  <c r="J33" i="26"/>
  <c r="I33" i="26" s="1"/>
  <c r="AC12" i="26"/>
  <c r="AC10" i="26"/>
  <c r="AC11" i="26"/>
  <c r="AC14" i="26"/>
  <c r="AC15" i="26"/>
  <c r="AC17" i="26"/>
  <c r="AC18" i="26"/>
  <c r="AC19" i="26"/>
  <c r="AC20" i="26"/>
  <c r="AC21" i="26"/>
  <c r="AC23" i="26"/>
  <c r="AC25" i="26"/>
  <c r="AC29" i="26"/>
  <c r="AC31" i="26"/>
  <c r="AC33" i="26"/>
  <c r="AC34" i="26"/>
  <c r="AC35" i="26"/>
  <c r="AC50" i="26"/>
  <c r="AC38" i="26"/>
  <c r="AC39" i="26"/>
  <c r="AC41" i="26"/>
  <c r="AC42" i="26"/>
  <c r="AC45" i="26"/>
  <c r="AC13" i="26"/>
  <c r="AC47" i="26"/>
  <c r="AC48" i="26"/>
  <c r="AC30" i="26"/>
  <c r="AC87" i="26"/>
  <c r="AC59" i="26"/>
  <c r="AC61" i="26"/>
  <c r="AC54" i="26"/>
  <c r="AC51" i="26"/>
  <c r="AC80" i="26"/>
  <c r="AC24" i="26"/>
  <c r="AC58" i="26"/>
  <c r="AC9" i="26"/>
  <c r="AC46" i="26"/>
  <c r="AC49" i="26"/>
  <c r="AC26" i="26"/>
  <c r="J27" i="26"/>
  <c r="I27" i="26" s="1"/>
  <c r="AC32" i="26"/>
  <c r="AC82" i="26"/>
  <c r="AC73" i="26"/>
  <c r="AC75" i="26" s="1"/>
  <c r="AC77" i="26" s="1"/>
  <c r="L37" i="55" l="1"/>
  <c r="L42" i="55"/>
  <c r="G90" i="54"/>
  <c r="G90" i="55"/>
  <c r="H95" i="55"/>
  <c r="H95" i="54"/>
  <c r="G94" i="54"/>
  <c r="G94" i="55"/>
  <c r="H94" i="54"/>
  <c r="H94" i="55"/>
  <c r="H92" i="54"/>
  <c r="H92" i="55"/>
  <c r="H97" i="54"/>
  <c r="H97" i="55"/>
  <c r="G96" i="54"/>
  <c r="G96" i="55"/>
  <c r="K90" i="54"/>
  <c r="K90" i="55"/>
  <c r="H96" i="54"/>
  <c r="H96" i="55"/>
  <c r="F97" i="54"/>
  <c r="F97" i="55"/>
  <c r="F93" i="54"/>
  <c r="F93" i="55"/>
  <c r="H90" i="55"/>
  <c r="H90" i="54"/>
  <c r="I92" i="54"/>
  <c r="I92" i="55"/>
  <c r="F94" i="54"/>
  <c r="F94" i="55"/>
  <c r="J97" i="54"/>
  <c r="J97" i="55"/>
  <c r="H93" i="55"/>
  <c r="H93" i="54"/>
  <c r="H91" i="55"/>
  <c r="H91" i="54"/>
  <c r="F92" i="55"/>
  <c r="F92" i="54"/>
  <c r="J40" i="26"/>
  <c r="I40" i="26" s="1"/>
  <c r="AC40" i="26"/>
  <c r="AC55" i="26"/>
  <c r="AC62" i="26"/>
  <c r="AC65" i="26" s="1"/>
  <c r="AC60" i="26"/>
  <c r="AC57" i="26"/>
  <c r="AC56" i="26"/>
  <c r="AC81" i="26" s="1"/>
  <c r="AC83" i="26" s="1"/>
  <c r="AC64" i="26"/>
  <c r="AC63" i="26"/>
  <c r="K43" i="54"/>
  <c r="I43" i="54"/>
  <c r="F32" i="54"/>
  <c r="F45" i="54"/>
  <c r="J9" i="54"/>
  <c r="K41" i="54"/>
  <c r="K27" i="54"/>
  <c r="K22" i="54"/>
  <c r="J33" i="54"/>
  <c r="J46" i="54"/>
  <c r="G51" i="54"/>
  <c r="G45" i="54"/>
  <c r="I9" i="54"/>
  <c r="N16" i="55"/>
  <c r="F50" i="54"/>
  <c r="I26" i="54"/>
  <c r="G43" i="54"/>
  <c r="K32" i="54"/>
  <c r="K30" i="54"/>
  <c r="I49" i="54"/>
  <c r="G50" i="54"/>
  <c r="F33" i="54"/>
  <c r="G9" i="54"/>
  <c r="I40" i="54"/>
  <c r="F46" i="54"/>
  <c r="J26" i="54"/>
  <c r="K46" i="54"/>
  <c r="I32" i="54"/>
  <c r="I30" i="54"/>
  <c r="J13" i="54"/>
  <c r="J12" i="54"/>
  <c r="G26" i="54"/>
  <c r="F26" i="54"/>
  <c r="J41" i="54"/>
  <c r="J32" i="54"/>
  <c r="I27" i="54"/>
  <c r="G32" i="54"/>
  <c r="G13" i="54"/>
  <c r="F51" i="54"/>
  <c r="E51" i="54" s="1"/>
  <c r="M38" i="55"/>
  <c r="M35" i="55"/>
  <c r="L35" i="55" s="1"/>
  <c r="M29" i="55"/>
  <c r="M17" i="55"/>
  <c r="L17" i="55" s="1"/>
  <c r="M10" i="55"/>
  <c r="M36" i="55"/>
  <c r="M34" i="55"/>
  <c r="N20" i="55"/>
  <c r="L20" i="55" s="1"/>
  <c r="N18" i="55"/>
  <c r="L18" i="55" s="1"/>
  <c r="M16" i="55"/>
  <c r="L16" i="55" s="1"/>
  <c r="M15" i="55"/>
  <c r="L15" i="55" s="1"/>
  <c r="N39" i="55"/>
  <c r="L39" i="55" s="1"/>
  <c r="N34" i="55"/>
  <c r="N29" i="55"/>
  <c r="N11" i="55"/>
  <c r="L11" i="55" s="1"/>
  <c r="N10" i="55"/>
  <c r="M21" i="55"/>
  <c r="L21" i="55" s="1"/>
  <c r="M28" i="55"/>
  <c r="M14" i="55"/>
  <c r="L14" i="55" s="1"/>
  <c r="J30" i="54"/>
  <c r="J22" i="54"/>
  <c r="N38" i="55"/>
  <c r="M31" i="55"/>
  <c r="L31" i="55" s="1"/>
  <c r="N25" i="55"/>
  <c r="L25" i="55" s="1"/>
  <c r="J50" i="54"/>
  <c r="G27" i="54"/>
  <c r="N36" i="55"/>
  <c r="F43" i="54"/>
  <c r="F30" i="54"/>
  <c r="F49" i="54"/>
  <c r="F13" i="54"/>
  <c r="N28" i="55"/>
  <c r="I45" i="54"/>
  <c r="J40" i="54"/>
  <c r="G41" i="54"/>
  <c r="K33" i="54"/>
  <c r="K12" i="54"/>
  <c r="F12" i="54"/>
  <c r="F9" i="54"/>
  <c r="J27" i="54"/>
  <c r="J49" i="54"/>
  <c r="I33" i="54"/>
  <c r="I46" i="54"/>
  <c r="I12" i="54"/>
  <c r="F27" i="54"/>
  <c r="F22" i="54"/>
  <c r="K9" i="54"/>
  <c r="L38" i="55" l="1"/>
  <c r="L28" i="55"/>
  <c r="L34" i="55"/>
  <c r="L36" i="55"/>
  <c r="L10" i="55"/>
  <c r="M19" i="55"/>
  <c r="N19" i="55"/>
  <c r="L29" i="55"/>
  <c r="E41" i="54"/>
  <c r="E40" i="54"/>
  <c r="E27" i="54"/>
  <c r="G97" i="55"/>
  <c r="G97" i="54"/>
  <c r="F95" i="54"/>
  <c r="F95" i="55"/>
  <c r="I91" i="55"/>
  <c r="I91" i="54"/>
  <c r="E30" i="54"/>
  <c r="F90" i="54"/>
  <c r="F90" i="55"/>
  <c r="J94" i="55"/>
  <c r="J94" i="54"/>
  <c r="E50" i="54"/>
  <c r="E45" i="54"/>
  <c r="G91" i="54"/>
  <c r="G91" i="55"/>
  <c r="E9" i="54"/>
  <c r="I95" i="54"/>
  <c r="I95" i="55"/>
  <c r="I97" i="54"/>
  <c r="I97" i="55"/>
  <c r="E33" i="54"/>
  <c r="F91" i="54"/>
  <c r="F91" i="55"/>
  <c r="E32" i="54"/>
  <c r="E12" i="54"/>
  <c r="J91" i="54"/>
  <c r="J91" i="55"/>
  <c r="K97" i="55"/>
  <c r="K97" i="54"/>
  <c r="E43" i="54"/>
  <c r="G95" i="55"/>
  <c r="G95" i="54"/>
  <c r="J90" i="54"/>
  <c r="J90" i="55"/>
  <c r="F96" i="54"/>
  <c r="F96" i="55"/>
  <c r="J96" i="55"/>
  <c r="J96" i="54"/>
  <c r="J92" i="55"/>
  <c r="J92" i="54"/>
  <c r="E13" i="54"/>
  <c r="K93" i="54"/>
  <c r="K93" i="55"/>
  <c r="K91" i="54"/>
  <c r="K91" i="55"/>
  <c r="I93" i="55"/>
  <c r="I93" i="54"/>
  <c r="K92" i="54"/>
  <c r="K92" i="55"/>
  <c r="I90" i="54"/>
  <c r="I90" i="55"/>
  <c r="G92" i="54"/>
  <c r="G92" i="55"/>
  <c r="E92" i="55" s="1"/>
  <c r="K94" i="55"/>
  <c r="K94" i="54"/>
  <c r="E46" i="54"/>
  <c r="E49" i="54"/>
  <c r="K95" i="55"/>
  <c r="K95" i="54"/>
  <c r="E26" i="54"/>
  <c r="I96" i="54"/>
  <c r="I96" i="55"/>
  <c r="J93" i="54"/>
  <c r="J93" i="55"/>
  <c r="E22" i="54"/>
  <c r="G93" i="55"/>
  <c r="G93" i="54"/>
  <c r="E93" i="54" s="1"/>
  <c r="I94" i="54"/>
  <c r="E94" i="54" s="1"/>
  <c r="I94" i="55"/>
  <c r="K96" i="55"/>
  <c r="K96" i="54"/>
  <c r="J95" i="54"/>
  <c r="J95" i="55"/>
  <c r="H89" i="54"/>
  <c r="H89" i="55"/>
  <c r="AC84" i="26"/>
  <c r="AC85" i="26"/>
  <c r="AC79" i="26"/>
  <c r="AC68" i="26"/>
  <c r="H12" i="55"/>
  <c r="H30" i="55"/>
  <c r="Y10" i="55"/>
  <c r="Y21" i="55"/>
  <c r="Y39" i="55"/>
  <c r="Y38" i="55"/>
  <c r="Y37" i="55"/>
  <c r="Y28" i="55"/>
  <c r="Y23" i="55"/>
  <c r="T9" i="55"/>
  <c r="T46" i="55"/>
  <c r="T22" i="55"/>
  <c r="T33" i="55"/>
  <c r="T51" i="55"/>
  <c r="T45" i="55"/>
  <c r="T26" i="55"/>
  <c r="T32" i="55"/>
  <c r="T12" i="55"/>
  <c r="T50" i="55"/>
  <c r="T41" i="55"/>
  <c r="T49" i="55"/>
  <c r="T43" i="55"/>
  <c r="T40" i="55"/>
  <c r="T30" i="55"/>
  <c r="T13" i="55"/>
  <c r="T27" i="55"/>
  <c r="S45" i="55"/>
  <c r="S49" i="55"/>
  <c r="S32" i="55"/>
  <c r="S27" i="55"/>
  <c r="S41" i="55"/>
  <c r="S12" i="55"/>
  <c r="S50" i="55"/>
  <c r="S13" i="55"/>
  <c r="S22" i="55"/>
  <c r="S51" i="55"/>
  <c r="S43" i="55"/>
  <c r="S46" i="55"/>
  <c r="S30" i="55"/>
  <c r="S40" i="55"/>
  <c r="S9" i="55"/>
  <c r="S26" i="55"/>
  <c r="S33" i="55"/>
  <c r="Y25" i="55"/>
  <c r="Y42" i="55"/>
  <c r="Y15" i="55"/>
  <c r="Y11" i="55"/>
  <c r="U45" i="55"/>
  <c r="U49" i="55"/>
  <c r="U32" i="55"/>
  <c r="U27" i="55"/>
  <c r="U41" i="55"/>
  <c r="U13" i="55"/>
  <c r="U22" i="55"/>
  <c r="U51" i="55"/>
  <c r="U43" i="55"/>
  <c r="U46" i="55"/>
  <c r="U30" i="55"/>
  <c r="U33" i="55"/>
  <c r="U40" i="55"/>
  <c r="U9" i="55"/>
  <c r="U26" i="55"/>
  <c r="U12" i="55"/>
  <c r="U50" i="55"/>
  <c r="V13" i="55"/>
  <c r="V26" i="55"/>
  <c r="V30" i="55"/>
  <c r="V50" i="55"/>
  <c r="V12" i="55"/>
  <c r="V22" i="55"/>
  <c r="V51" i="55"/>
  <c r="V41" i="55"/>
  <c r="V46" i="55"/>
  <c r="V49" i="55"/>
  <c r="V33" i="55"/>
  <c r="V27" i="55"/>
  <c r="V43" i="55"/>
  <c r="V32" i="55"/>
  <c r="V9" i="55"/>
  <c r="V45" i="55"/>
  <c r="V40" i="55"/>
  <c r="Y14" i="55"/>
  <c r="Y29" i="55"/>
  <c r="Y16" i="55"/>
  <c r="Y36" i="55"/>
  <c r="R12" i="55"/>
  <c r="R40" i="55"/>
  <c r="R43" i="55"/>
  <c r="R45" i="55"/>
  <c r="R32" i="55"/>
  <c r="R50" i="55"/>
  <c r="R13" i="55"/>
  <c r="R22" i="55"/>
  <c r="R51" i="55"/>
  <c r="R41" i="55"/>
  <c r="R49" i="55"/>
  <c r="R33" i="55"/>
  <c r="R30" i="55"/>
  <c r="R46" i="55"/>
  <c r="R9" i="55"/>
  <c r="R27" i="55"/>
  <c r="R26" i="55"/>
  <c r="Q9" i="55"/>
  <c r="Q46" i="55"/>
  <c r="Q22" i="55"/>
  <c r="Q33" i="55"/>
  <c r="Q51" i="55"/>
  <c r="Q12" i="55"/>
  <c r="Q13" i="55"/>
  <c r="Q49" i="55"/>
  <c r="Q27" i="55"/>
  <c r="Q41" i="55"/>
  <c r="Q32" i="55"/>
  <c r="Q40" i="55"/>
  <c r="Q30" i="55"/>
  <c r="P30" i="55" s="1"/>
  <c r="Q43" i="55"/>
  <c r="Q45" i="55"/>
  <c r="Q50" i="55"/>
  <c r="Q26" i="55"/>
  <c r="Y35" i="55"/>
  <c r="Y31" i="55"/>
  <c r="Y19" i="55"/>
  <c r="Y34" i="55"/>
  <c r="Y20" i="55"/>
  <c r="Y18" i="55"/>
  <c r="Y17" i="55"/>
  <c r="P50" i="55" l="1"/>
  <c r="P26" i="55"/>
  <c r="P12" i="55"/>
  <c r="P43" i="55"/>
  <c r="E94" i="55"/>
  <c r="P22" i="55"/>
  <c r="E96" i="55"/>
  <c r="P32" i="55"/>
  <c r="P41" i="55"/>
  <c r="P46" i="55"/>
  <c r="P27" i="55"/>
  <c r="P9" i="55"/>
  <c r="P51" i="55"/>
  <c r="P45" i="55"/>
  <c r="P49" i="55"/>
  <c r="P33" i="55"/>
  <c r="P40" i="55"/>
  <c r="P13" i="55"/>
  <c r="L19" i="55"/>
  <c r="H33" i="55"/>
  <c r="H40" i="55"/>
  <c r="K89" i="54"/>
  <c r="J89" i="55"/>
  <c r="E97" i="54"/>
  <c r="K89" i="55"/>
  <c r="E97" i="55"/>
  <c r="G89" i="54"/>
  <c r="E93" i="55"/>
  <c r="E90" i="55"/>
  <c r="F89" i="55"/>
  <c r="E95" i="54"/>
  <c r="I89" i="55"/>
  <c r="J89" i="54"/>
  <c r="H22" i="55"/>
  <c r="G89" i="55"/>
  <c r="I89" i="54"/>
  <c r="E92" i="54"/>
  <c r="H9" i="55"/>
  <c r="E90" i="54"/>
  <c r="F89" i="54"/>
  <c r="H43" i="55"/>
  <c r="E96" i="54"/>
  <c r="E91" i="55"/>
  <c r="E91" i="54"/>
  <c r="E95" i="55"/>
  <c r="AC86" i="26"/>
  <c r="AC88" i="26"/>
  <c r="H41" i="55"/>
  <c r="H50" i="55"/>
  <c r="H49" i="55"/>
  <c r="H51" i="55"/>
  <c r="H32" i="55"/>
  <c r="H45" i="55"/>
  <c r="H26" i="55"/>
  <c r="H46" i="55"/>
  <c r="H27" i="55"/>
  <c r="H13" i="55"/>
  <c r="G9" i="55"/>
  <c r="G46" i="55"/>
  <c r="G22" i="55"/>
  <c r="G33" i="55"/>
  <c r="G51" i="55"/>
  <c r="G45" i="55"/>
  <c r="G49" i="55"/>
  <c r="G32" i="55"/>
  <c r="G27" i="55"/>
  <c r="G41" i="55"/>
  <c r="G12" i="55"/>
  <c r="G40" i="55"/>
  <c r="G13" i="55"/>
  <c r="G26" i="55"/>
  <c r="G43" i="55"/>
  <c r="G30" i="55"/>
  <c r="G50" i="55"/>
  <c r="J12" i="55"/>
  <c r="J40" i="55"/>
  <c r="J43" i="55"/>
  <c r="J9" i="55"/>
  <c r="J26" i="55"/>
  <c r="J45" i="55"/>
  <c r="J32" i="55"/>
  <c r="J50" i="55"/>
  <c r="J13" i="55"/>
  <c r="J22" i="55"/>
  <c r="J51" i="55"/>
  <c r="J41" i="55"/>
  <c r="J46" i="55"/>
  <c r="J49" i="55"/>
  <c r="J30" i="55"/>
  <c r="J33" i="55"/>
  <c r="J27" i="55"/>
  <c r="I9" i="55"/>
  <c r="I46" i="55"/>
  <c r="I22" i="55"/>
  <c r="I33" i="55"/>
  <c r="I51" i="55"/>
  <c r="I12" i="55"/>
  <c r="I50" i="55"/>
  <c r="I41" i="55"/>
  <c r="I13" i="55"/>
  <c r="I49" i="55"/>
  <c r="I27" i="55"/>
  <c r="I43" i="55"/>
  <c r="I30" i="55"/>
  <c r="I40" i="55"/>
  <c r="I45" i="55"/>
  <c r="I26" i="55"/>
  <c r="I32" i="55"/>
  <c r="F12" i="55"/>
  <c r="F40" i="55"/>
  <c r="F43" i="55"/>
  <c r="F13" i="55"/>
  <c r="F26" i="55"/>
  <c r="F30" i="55"/>
  <c r="F50" i="55"/>
  <c r="F46" i="55"/>
  <c r="F33" i="55"/>
  <c r="F41" i="55"/>
  <c r="F9" i="55"/>
  <c r="F22" i="55"/>
  <c r="F51" i="55"/>
  <c r="F45" i="55"/>
  <c r="F49" i="55"/>
  <c r="F32" i="55"/>
  <c r="F27" i="55"/>
  <c r="K9" i="55"/>
  <c r="K46" i="55"/>
  <c r="K22" i="55"/>
  <c r="K33" i="55"/>
  <c r="K51" i="55"/>
  <c r="K13" i="55"/>
  <c r="K49" i="55"/>
  <c r="K27" i="55"/>
  <c r="K43" i="55"/>
  <c r="K30" i="55"/>
  <c r="K40" i="55"/>
  <c r="K45" i="55"/>
  <c r="K26" i="55"/>
  <c r="K32" i="55"/>
  <c r="K12" i="55"/>
  <c r="K50" i="55"/>
  <c r="K41" i="55"/>
  <c r="X28" i="55"/>
  <c r="W28" i="55" s="1"/>
  <c r="X76" i="55"/>
  <c r="X16" i="55"/>
  <c r="W16" i="55" s="1"/>
  <c r="X14" i="55"/>
  <c r="X66" i="55"/>
  <c r="X36" i="55"/>
  <c r="W36" i="55" s="1"/>
  <c r="E49" i="55" l="1"/>
  <c r="E22" i="55"/>
  <c r="T24" i="55"/>
  <c r="V24" i="55"/>
  <c r="U24" i="55"/>
  <c r="W14" i="55"/>
  <c r="E30" i="55"/>
  <c r="E33" i="55"/>
  <c r="E26" i="55"/>
  <c r="E9" i="55"/>
  <c r="E46" i="55"/>
  <c r="E32" i="55"/>
  <c r="E41" i="55"/>
  <c r="E43" i="55"/>
  <c r="E13" i="55"/>
  <c r="E45" i="55"/>
  <c r="E40" i="55"/>
  <c r="E89" i="55"/>
  <c r="E89" i="54"/>
  <c r="E27" i="55"/>
  <c r="E12" i="55"/>
  <c r="E50" i="55"/>
  <c r="E51" i="55"/>
  <c r="F10" i="55"/>
  <c r="F14" i="55"/>
  <c r="J15" i="55"/>
  <c r="H16" i="55"/>
  <c r="F17" i="55"/>
  <c r="J20" i="55"/>
  <c r="H21" i="55"/>
  <c r="F23" i="55"/>
  <c r="J25" i="55"/>
  <c r="H28" i="55"/>
  <c r="J31" i="55"/>
  <c r="H34" i="55"/>
  <c r="F35" i="55"/>
  <c r="H36" i="55"/>
  <c r="F37" i="55"/>
  <c r="H20" i="55"/>
  <c r="J36" i="55"/>
  <c r="F16" i="55"/>
  <c r="F19" i="55"/>
  <c r="J10" i="55"/>
  <c r="F15" i="55"/>
  <c r="J18" i="55"/>
  <c r="F20" i="55"/>
  <c r="J21" i="55"/>
  <c r="F25" i="55"/>
  <c r="J29" i="55"/>
  <c r="F31" i="55"/>
  <c r="J34" i="55"/>
  <c r="J38" i="55"/>
  <c r="J28" i="55"/>
  <c r="H31" i="55"/>
  <c r="F34" i="55"/>
  <c r="F38" i="55"/>
  <c r="J16" i="55"/>
  <c r="H17" i="55"/>
  <c r="F18" i="55"/>
  <c r="J19" i="55"/>
  <c r="F21" i="55"/>
  <c r="F29" i="55"/>
  <c r="H37" i="55"/>
  <c r="J39" i="55"/>
  <c r="J14" i="55"/>
  <c r="H15" i="55"/>
  <c r="J17" i="55"/>
  <c r="H18" i="55"/>
  <c r="J23" i="55"/>
  <c r="H38" i="55"/>
  <c r="F28" i="55"/>
  <c r="J35" i="55"/>
  <c r="J37" i="55"/>
  <c r="F42" i="55"/>
  <c r="F36" i="55"/>
  <c r="F39" i="55"/>
  <c r="J42" i="55"/>
  <c r="H25" i="55"/>
  <c r="H29" i="55"/>
  <c r="H39" i="55"/>
  <c r="H23" i="55"/>
  <c r="H19" i="55"/>
  <c r="H42" i="55"/>
  <c r="H35" i="55"/>
  <c r="H14" i="55"/>
  <c r="J11" i="55"/>
  <c r="H10" i="55"/>
  <c r="H11" i="55"/>
  <c r="F11" i="55"/>
  <c r="G14" i="55"/>
  <c r="G23" i="55"/>
  <c r="G35" i="55"/>
  <c r="G19" i="55"/>
  <c r="G15" i="55"/>
  <c r="K14" i="55"/>
  <c r="K23" i="55"/>
  <c r="K35" i="55"/>
  <c r="K17" i="55"/>
  <c r="K25" i="55"/>
  <c r="I10" i="55"/>
  <c r="I17" i="55"/>
  <c r="I37" i="55"/>
  <c r="I29" i="55"/>
  <c r="I35" i="55"/>
  <c r="I23" i="55"/>
  <c r="I18" i="55"/>
  <c r="G10" i="55"/>
  <c r="G16" i="55"/>
  <c r="G28" i="55"/>
  <c r="G36" i="55"/>
  <c r="G17" i="55"/>
  <c r="K16" i="55"/>
  <c r="K28" i="55"/>
  <c r="K36" i="55"/>
  <c r="K21" i="55"/>
  <c r="K39" i="55"/>
  <c r="I11" i="55"/>
  <c r="I19" i="55"/>
  <c r="I39" i="55"/>
  <c r="I38" i="55"/>
  <c r="I36" i="55"/>
  <c r="G20" i="55"/>
  <c r="G31" i="55"/>
  <c r="G11" i="55"/>
  <c r="G42" i="55"/>
  <c r="G37" i="55"/>
  <c r="G25" i="55"/>
  <c r="G34" i="55"/>
  <c r="K11" i="55"/>
  <c r="K20" i="55"/>
  <c r="K31" i="55"/>
  <c r="K42" i="55"/>
  <c r="K15" i="55"/>
  <c r="K19" i="55"/>
  <c r="G18" i="55"/>
  <c r="G29" i="55"/>
  <c r="G38" i="55"/>
  <c r="G39" i="55"/>
  <c r="G21" i="55"/>
  <c r="K18" i="55"/>
  <c r="K29" i="55"/>
  <c r="K38" i="55"/>
  <c r="K37" i="55"/>
  <c r="K34" i="55"/>
  <c r="K10" i="55"/>
  <c r="I21" i="55"/>
  <c r="I34" i="55"/>
  <c r="I20" i="55"/>
  <c r="I14" i="55"/>
  <c r="I31" i="55"/>
  <c r="I15" i="55"/>
  <c r="I25" i="55"/>
  <c r="I16" i="55"/>
  <c r="I42" i="55"/>
  <c r="S14" i="55"/>
  <c r="U19" i="55"/>
  <c r="S23" i="55"/>
  <c r="S35" i="55"/>
  <c r="U39" i="55"/>
  <c r="U42" i="55"/>
  <c r="U10" i="55"/>
  <c r="U15" i="55"/>
  <c r="Q15" i="55"/>
  <c r="U21" i="55"/>
  <c r="U17" i="55"/>
  <c r="U37" i="55"/>
  <c r="U11" i="55"/>
  <c r="S18" i="55"/>
  <c r="U25" i="55"/>
  <c r="S29" i="55"/>
  <c r="S42" i="55"/>
  <c r="S38" i="55"/>
  <c r="S16" i="55"/>
  <c r="Q25" i="55"/>
  <c r="U34" i="55"/>
  <c r="S36" i="55"/>
  <c r="S28" i="55"/>
  <c r="Q14" i="55"/>
  <c r="Q23" i="55"/>
  <c r="Q35" i="55"/>
  <c r="Q39" i="55"/>
  <c r="Q19" i="55"/>
  <c r="Q10" i="55"/>
  <c r="U16" i="55"/>
  <c r="U28" i="55"/>
  <c r="U36" i="55"/>
  <c r="Q34" i="55"/>
  <c r="Q11" i="55"/>
  <c r="S10" i="55"/>
  <c r="S21" i="55"/>
  <c r="S34" i="55"/>
  <c r="S11" i="55"/>
  <c r="Q20" i="55"/>
  <c r="Q31" i="55"/>
  <c r="S31" i="55"/>
  <c r="U14" i="55"/>
  <c r="U23" i="55"/>
  <c r="U35" i="55"/>
  <c r="Q17" i="55"/>
  <c r="Q21" i="55"/>
  <c r="S19" i="55"/>
  <c r="Q16" i="55"/>
  <c r="Q28" i="55"/>
  <c r="Q36" i="55"/>
  <c r="Q37" i="55"/>
  <c r="S20" i="55"/>
  <c r="U18" i="55"/>
  <c r="U29" i="55"/>
  <c r="U38" i="55"/>
  <c r="S15" i="55"/>
  <c r="S25" i="55"/>
  <c r="Q18" i="55"/>
  <c r="Q29" i="55"/>
  <c r="Q38" i="55"/>
  <c r="U20" i="55"/>
  <c r="U31" i="55"/>
  <c r="Q42" i="55"/>
  <c r="S17" i="55"/>
  <c r="S37" i="55"/>
  <c r="S39" i="55"/>
  <c r="R25" i="55"/>
  <c r="R19" i="55"/>
  <c r="R29" i="55"/>
  <c r="R39" i="55"/>
  <c r="R35" i="55"/>
  <c r="T11" i="55"/>
  <c r="T14" i="55"/>
  <c r="T35" i="55"/>
  <c r="T20" i="55"/>
  <c r="T19" i="55"/>
  <c r="V18" i="55"/>
  <c r="V38" i="55"/>
  <c r="V28" i="55"/>
  <c r="V42" i="55"/>
  <c r="V37" i="55"/>
  <c r="V20" i="55"/>
  <c r="V31" i="55"/>
  <c r="R10" i="55"/>
  <c r="R31" i="55"/>
  <c r="R17" i="55"/>
  <c r="R34" i="55"/>
  <c r="R28" i="55"/>
  <c r="R14" i="55"/>
  <c r="R37" i="55"/>
  <c r="T10" i="55"/>
  <c r="T16" i="55"/>
  <c r="T36" i="55"/>
  <c r="T15" i="55"/>
  <c r="T21" i="55"/>
  <c r="T39" i="55"/>
  <c r="T42" i="55"/>
  <c r="V21" i="55"/>
  <c r="V23" i="55"/>
  <c r="V14" i="55"/>
  <c r="R11" i="55"/>
  <c r="R20" i="55"/>
  <c r="R16" i="55"/>
  <c r="R21" i="55"/>
  <c r="R42" i="55"/>
  <c r="R36" i="55"/>
  <c r="T28" i="55"/>
  <c r="T18" i="55"/>
  <c r="T25" i="55"/>
  <c r="T34" i="55"/>
  <c r="T38" i="55"/>
  <c r="R15" i="55"/>
  <c r="R18" i="55"/>
  <c r="R38" i="55"/>
  <c r="R23" i="55"/>
  <c r="T17" i="55"/>
  <c r="T37" i="55"/>
  <c r="T23" i="55"/>
  <c r="T31" i="55"/>
  <c r="T29" i="55"/>
  <c r="V11" i="55"/>
  <c r="V29" i="55"/>
  <c r="V16" i="55"/>
  <c r="V36" i="55"/>
  <c r="V17" i="55"/>
  <c r="V35" i="55"/>
  <c r="V10" i="55"/>
  <c r="V34" i="55"/>
  <c r="V19" i="55"/>
  <c r="V39" i="55"/>
  <c r="V15" i="55"/>
  <c r="V25" i="55"/>
  <c r="P42" i="55" l="1"/>
  <c r="P37" i="55"/>
  <c r="P17" i="55"/>
  <c r="P14" i="55"/>
  <c r="O14" i="55" s="1"/>
  <c r="P15" i="55"/>
  <c r="P36" i="55"/>
  <c r="O36" i="55" s="1"/>
  <c r="P28" i="55"/>
  <c r="O28" i="55" s="1"/>
  <c r="P10" i="55"/>
  <c r="T8" i="55"/>
  <c r="P16" i="55"/>
  <c r="O16" i="55" s="1"/>
  <c r="P19" i="55"/>
  <c r="U8" i="55"/>
  <c r="P38" i="55"/>
  <c r="P11" i="55"/>
  <c r="P39" i="55"/>
  <c r="P25" i="55"/>
  <c r="V8" i="55"/>
  <c r="P29" i="55"/>
  <c r="P31" i="55"/>
  <c r="P34" i="55"/>
  <c r="P35" i="55"/>
  <c r="P18" i="55"/>
  <c r="P21" i="55"/>
  <c r="P20" i="55"/>
  <c r="P23" i="55"/>
  <c r="E39" i="55"/>
  <c r="E18" i="55"/>
  <c r="D18" i="55" s="1"/>
  <c r="E36" i="55"/>
  <c r="E35" i="55"/>
  <c r="E25" i="55"/>
  <c r="E19" i="55"/>
  <c r="E17" i="55"/>
  <c r="E11" i="55"/>
  <c r="D11" i="55" s="1"/>
  <c r="E42" i="55"/>
  <c r="E16" i="55"/>
  <c r="D39" i="55"/>
  <c r="E29" i="55"/>
  <c r="D29" i="55" s="1"/>
  <c r="E20" i="55"/>
  <c r="E38" i="55"/>
  <c r="E14" i="55"/>
  <c r="E31" i="55"/>
  <c r="D31" i="55" s="1"/>
  <c r="E21" i="55"/>
  <c r="E34" i="55"/>
  <c r="E15" i="55"/>
  <c r="E37" i="55"/>
  <c r="E28" i="55"/>
  <c r="E23" i="55"/>
  <c r="D23" i="55" s="1"/>
  <c r="E10" i="55"/>
  <c r="D19" i="55" l="1"/>
  <c r="D42" i="55"/>
  <c r="D25" i="55"/>
  <c r="D28" i="55"/>
  <c r="D16" i="55"/>
  <c r="D14" i="55"/>
  <c r="D37" i="55"/>
  <c r="D15" i="55"/>
  <c r="D20" i="55"/>
  <c r="D35" i="55"/>
  <c r="D38" i="55"/>
  <c r="D34" i="55"/>
  <c r="D10" i="55"/>
  <c r="D21" i="55"/>
  <c r="D17" i="55"/>
  <c r="D36" i="55"/>
  <c r="I93" i="1" l="1"/>
  <c r="I94" i="1"/>
  <c r="I105" i="1"/>
  <c r="I111" i="1"/>
  <c r="I124" i="1"/>
  <c r="I126" i="1"/>
  <c r="I131" i="1"/>
  <c r="I134" i="1"/>
  <c r="I148" i="1"/>
  <c r="I156" i="1"/>
  <c r="I81" i="1"/>
  <c r="K81" i="1" s="1"/>
  <c r="I170" i="1"/>
  <c r="I171" i="1"/>
  <c r="I173" i="1"/>
  <c r="I177" i="1"/>
  <c r="I191" i="1"/>
  <c r="I52" i="1"/>
  <c r="I201" i="1"/>
  <c r="I207" i="1"/>
  <c r="I209" i="1"/>
  <c r="I217" i="1"/>
  <c r="I218" i="1"/>
  <c r="I95" i="1"/>
  <c r="I57" i="1"/>
  <c r="K57" i="1" s="1"/>
  <c r="I58" i="1"/>
  <c r="K58" i="1" s="1"/>
  <c r="I60" i="1"/>
  <c r="K60" i="1" s="1"/>
  <c r="I62" i="1"/>
  <c r="K62" i="1" s="1"/>
  <c r="I103" i="1"/>
  <c r="I46" i="1"/>
  <c r="I64" i="1"/>
  <c r="K64" i="1" s="1"/>
  <c r="I13" i="1"/>
  <c r="I65" i="1"/>
  <c r="K65" i="1" s="1"/>
  <c r="I14" i="1"/>
  <c r="I48" i="1"/>
  <c r="I49" i="1"/>
  <c r="I66" i="1"/>
  <c r="K66" i="1" s="1"/>
  <c r="I122" i="1"/>
  <c r="I123" i="1"/>
  <c r="I125" i="1"/>
  <c r="I136" i="1"/>
  <c r="I141" i="1"/>
  <c r="I145" i="1"/>
  <c r="I31" i="1"/>
  <c r="I175" i="1"/>
  <c r="I88" i="1"/>
  <c r="K88" i="1" s="1"/>
  <c r="I182" i="1"/>
  <c r="I183" i="1"/>
  <c r="I89" i="1"/>
  <c r="K89" i="1" s="1"/>
  <c r="V89" i="1" s="1"/>
  <c r="P88" i="26" s="1"/>
  <c r="F88" i="26"/>
  <c r="G88" i="26" s="1"/>
  <c r="S88" i="26" s="1"/>
  <c r="I206" i="1"/>
  <c r="I211" i="1"/>
  <c r="I213" i="1"/>
  <c r="I10" i="1"/>
  <c r="I59" i="1"/>
  <c r="K59" i="1" s="1"/>
  <c r="I98" i="1"/>
  <c r="I110" i="1"/>
  <c r="I47" i="1"/>
  <c r="I130" i="1"/>
  <c r="I133" i="1"/>
  <c r="I50" i="1"/>
  <c r="I142" i="1"/>
  <c r="I144" i="1"/>
  <c r="I25" i="1"/>
  <c r="I27" i="1"/>
  <c r="I146" i="1"/>
  <c r="I147" i="1"/>
  <c r="I151" i="1"/>
  <c r="I74" i="1"/>
  <c r="K74" i="1" s="1"/>
  <c r="I76" i="1"/>
  <c r="K76" i="1" s="1"/>
  <c r="I161" i="1"/>
  <c r="I33" i="1"/>
  <c r="I178" i="1"/>
  <c r="I179" i="1"/>
  <c r="I184" i="1"/>
  <c r="I185" i="1"/>
  <c r="I190" i="1"/>
  <c r="I83" i="1"/>
  <c r="I202" i="1"/>
  <c r="I214" i="1"/>
  <c r="I92" i="1"/>
  <c r="I11" i="1"/>
  <c r="I99" i="1"/>
  <c r="I12" i="1"/>
  <c r="I107" i="1"/>
  <c r="I119" i="1"/>
  <c r="I67" i="1"/>
  <c r="K67" i="1" s="1"/>
  <c r="I15" i="1"/>
  <c r="I16" i="1"/>
  <c r="I17" i="1"/>
  <c r="I18" i="1"/>
  <c r="I19" i="1"/>
  <c r="I20" i="1"/>
  <c r="I21" i="1"/>
  <c r="I70" i="1"/>
  <c r="K70" i="1" s="1"/>
  <c r="I22" i="1"/>
  <c r="I23" i="1"/>
  <c r="I24" i="1"/>
  <c r="I26" i="1"/>
  <c r="I68" i="1"/>
  <c r="K68" i="1" s="1"/>
  <c r="I29" i="1"/>
  <c r="I157" i="1"/>
  <c r="I30" i="1"/>
  <c r="I77" i="1"/>
  <c r="K77" i="1" s="1"/>
  <c r="I79" i="1"/>
  <c r="K79" i="1" s="1"/>
  <c r="I32" i="1"/>
  <c r="I34" i="1"/>
  <c r="I35" i="1"/>
  <c r="I36" i="1"/>
  <c r="I186" i="1"/>
  <c r="I192" i="1"/>
  <c r="I38" i="1"/>
  <c r="I39" i="1"/>
  <c r="I40" i="1"/>
  <c r="I41" i="1"/>
  <c r="I42" i="1"/>
  <c r="I210" i="1"/>
  <c r="I43" i="1"/>
  <c r="V64" i="1" l="1"/>
  <c r="P63" i="26" s="1"/>
  <c r="M63" i="26"/>
  <c r="S63" i="26" s="1"/>
  <c r="V79" i="1"/>
  <c r="P78" i="26" s="1"/>
  <c r="O79" i="1"/>
  <c r="Q79" i="1" s="1"/>
  <c r="V62" i="1"/>
  <c r="P61" i="26" s="1"/>
  <c r="O62" i="1"/>
  <c r="M61" i="26" s="1"/>
  <c r="V76" i="1"/>
  <c r="P75" i="26" s="1"/>
  <c r="O76" i="1"/>
  <c r="M75" i="26" s="1"/>
  <c r="O88" i="26"/>
  <c r="V88" i="26"/>
  <c r="I88" i="26" s="1"/>
  <c r="J88" i="26" s="1"/>
  <c r="V65" i="1"/>
  <c r="P64" i="26" s="1"/>
  <c r="O65" i="1"/>
  <c r="Q65" i="1" s="1"/>
  <c r="V57" i="1"/>
  <c r="P56" i="26" s="1"/>
  <c r="O75" i="1"/>
  <c r="O69" i="1"/>
  <c r="M68" i="26" s="1"/>
  <c r="O54" i="1"/>
  <c r="O56" i="1"/>
  <c r="M55" i="26" s="1"/>
  <c r="O86" i="1"/>
  <c r="M85" i="26" s="1"/>
  <c r="O61" i="1"/>
  <c r="M60" i="26" s="1"/>
  <c r="O85" i="1"/>
  <c r="M84" i="26" s="1"/>
  <c r="O57" i="1"/>
  <c r="M56" i="26" s="1"/>
  <c r="K53" i="1"/>
  <c r="K220" i="1" s="1"/>
  <c r="O72" i="1"/>
  <c r="M71" i="26" s="1"/>
  <c r="O78" i="1"/>
  <c r="M77" i="26" s="1"/>
  <c r="O55" i="1"/>
  <c r="M54" i="26" s="1"/>
  <c r="O82" i="1"/>
  <c r="M81" i="26" s="1"/>
  <c r="O71" i="1"/>
  <c r="O80" i="1"/>
  <c r="O73" i="1"/>
  <c r="O83" i="1"/>
  <c r="O63" i="1"/>
  <c r="V68" i="1"/>
  <c r="P67" i="26" s="1"/>
  <c r="O68" i="1"/>
  <c r="Q68" i="1" s="1"/>
  <c r="V88" i="1"/>
  <c r="P87" i="26" s="1"/>
  <c r="O88" i="1"/>
  <c r="M87" i="26" s="1"/>
  <c r="V77" i="1"/>
  <c r="O77" i="1"/>
  <c r="I9" i="1"/>
  <c r="V60" i="1"/>
  <c r="P59" i="26" s="1"/>
  <c r="O60" i="1"/>
  <c r="Q60" i="1" s="1"/>
  <c r="V70" i="1"/>
  <c r="P69" i="26" s="1"/>
  <c r="O70" i="1"/>
  <c r="Q70" i="1" s="1"/>
  <c r="V67" i="1"/>
  <c r="O67" i="1"/>
  <c r="V74" i="1"/>
  <c r="P73" i="26" s="1"/>
  <c r="O74" i="1"/>
  <c r="M73" i="26" s="1"/>
  <c r="V59" i="1"/>
  <c r="P58" i="26" s="1"/>
  <c r="O59" i="1"/>
  <c r="M58" i="26" s="1"/>
  <c r="V66" i="1"/>
  <c r="P65" i="26" s="1"/>
  <c r="M65" i="26"/>
  <c r="V58" i="1"/>
  <c r="P57" i="26" s="1"/>
  <c r="O58" i="1"/>
  <c r="M57" i="26" s="1"/>
  <c r="V81" i="1"/>
  <c r="P80" i="26" s="1"/>
  <c r="O81" i="1"/>
  <c r="M80" i="26" s="1"/>
  <c r="M64" i="26" l="1"/>
  <c r="O63" i="26"/>
  <c r="J63" i="26" s="1"/>
  <c r="I63" i="26" s="1"/>
  <c r="M78" i="26"/>
  <c r="Q63" i="1"/>
  <c r="M62" i="26"/>
  <c r="P66" i="26"/>
  <c r="M66" i="26"/>
  <c r="Q75" i="1"/>
  <c r="M74" i="26"/>
  <c r="M69" i="26"/>
  <c r="P76" i="26"/>
  <c r="M76" i="26"/>
  <c r="Q73" i="1"/>
  <c r="M72" i="26"/>
  <c r="Q80" i="1"/>
  <c r="M79" i="26"/>
  <c r="M59" i="26"/>
  <c r="M67" i="26"/>
  <c r="Q54" i="1"/>
  <c r="O53" i="1"/>
  <c r="O220" i="1" s="1"/>
  <c r="M53" i="26"/>
  <c r="Q71" i="1"/>
  <c r="M70" i="26"/>
  <c r="S70" i="26" s="1"/>
  <c r="O70" i="26" s="1"/>
  <c r="J70" i="26" s="1"/>
  <c r="I70" i="26" s="1"/>
  <c r="M52" i="26" l="1"/>
  <c r="P52" i="26"/>
  <c r="P90" i="26" s="1"/>
  <c r="Q53" i="1"/>
  <c r="Q220" i="1" s="1"/>
  <c r="K226" i="1" l="1"/>
  <c r="G226" i="1"/>
  <c r="G227" i="1" s="1"/>
  <c r="X10" i="54" l="1"/>
  <c r="W10" i="54" s="1"/>
  <c r="O10" i="54" s="1"/>
  <c r="X11" i="54"/>
  <c r="W11" i="54" s="1"/>
  <c r="O11" i="54" s="1"/>
  <c r="X15" i="54"/>
  <c r="W15" i="54" s="1"/>
  <c r="O15" i="54" s="1"/>
  <c r="X17" i="54"/>
  <c r="W17" i="54" s="1"/>
  <c r="O17" i="54" s="1"/>
  <c r="X18" i="54"/>
  <c r="W18" i="54" s="1"/>
  <c r="O18" i="54" s="1"/>
  <c r="X20" i="54"/>
  <c r="W20" i="54" s="1"/>
  <c r="O20" i="54" s="1"/>
  <c r="X21" i="54"/>
  <c r="W21" i="54" s="1"/>
  <c r="O21" i="54" s="1"/>
  <c r="X23" i="54"/>
  <c r="W23" i="54" s="1"/>
  <c r="O23" i="54" s="1"/>
  <c r="X25" i="54"/>
  <c r="W25" i="54" s="1"/>
  <c r="O25" i="54" s="1"/>
  <c r="X29" i="54"/>
  <c r="W29" i="54" s="1"/>
  <c r="O29" i="54" s="1"/>
  <c r="X31" i="54"/>
  <c r="W31" i="54" s="1"/>
  <c r="O31" i="54" s="1"/>
  <c r="X34" i="54"/>
  <c r="W34" i="54" s="1"/>
  <c r="O34" i="54" s="1"/>
  <c r="X35" i="54"/>
  <c r="W35" i="54" s="1"/>
  <c r="O35" i="54" s="1"/>
  <c r="X37" i="54"/>
  <c r="W37" i="54" s="1"/>
  <c r="O37" i="54" s="1"/>
  <c r="X38" i="54"/>
  <c r="W38" i="54" s="1"/>
  <c r="O38" i="54" s="1"/>
  <c r="X39" i="54"/>
  <c r="W39" i="54" s="1"/>
  <c r="O39" i="54" s="1"/>
  <c r="X42" i="54"/>
  <c r="W42" i="54" s="1"/>
  <c r="O42" i="54" s="1"/>
  <c r="X43" i="54"/>
  <c r="F43" i="26" l="1"/>
  <c r="G43" i="26" s="1"/>
  <c r="S43" i="26" s="1"/>
  <c r="O43" i="26" s="1"/>
  <c r="F80" i="26"/>
  <c r="F51" i="26"/>
  <c r="G51" i="26" s="1"/>
  <c r="S51" i="26" s="1"/>
  <c r="O51" i="26" s="1"/>
  <c r="J51" i="26" s="1"/>
  <c r="I51" i="26" s="1"/>
  <c r="F56" i="26"/>
  <c r="F59" i="26"/>
  <c r="F61" i="26"/>
  <c r="G61" i="26" s="1"/>
  <c r="S61" i="26" s="1"/>
  <c r="O61" i="26" s="1"/>
  <c r="F45" i="26"/>
  <c r="G45" i="26" s="1"/>
  <c r="S45" i="26" s="1"/>
  <c r="O45" i="26" s="1"/>
  <c r="J45" i="26" s="1"/>
  <c r="I45" i="26" s="1"/>
  <c r="F63" i="26"/>
  <c r="F12" i="26"/>
  <c r="G12" i="26" s="1"/>
  <c r="S12" i="26" s="1"/>
  <c r="O12" i="26" s="1"/>
  <c r="J12" i="26" s="1"/>
  <c r="I12" i="26" s="1"/>
  <c r="F64" i="26"/>
  <c r="G64" i="26" s="1"/>
  <c r="S64" i="26" s="1"/>
  <c r="O64" i="26" s="1"/>
  <c r="J64" i="26" s="1"/>
  <c r="I64" i="26" s="1"/>
  <c r="F13" i="26"/>
  <c r="G13" i="26" s="1"/>
  <c r="S13" i="26" s="1"/>
  <c r="O13" i="26" s="1"/>
  <c r="J13" i="26" s="1"/>
  <c r="I13" i="26" s="1"/>
  <c r="F47" i="26"/>
  <c r="F48" i="26"/>
  <c r="G48" i="26" s="1"/>
  <c r="S48" i="26" s="1"/>
  <c r="O48" i="26" s="1"/>
  <c r="J48" i="26" s="1"/>
  <c r="I48" i="26" s="1"/>
  <c r="F65" i="26"/>
  <c r="G65" i="26" s="1"/>
  <c r="S65" i="26" s="1"/>
  <c r="O65" i="26" s="1"/>
  <c r="J65" i="26" s="1"/>
  <c r="I65" i="26" s="1"/>
  <c r="F30" i="26"/>
  <c r="G30" i="26" s="1"/>
  <c r="S30" i="26" s="1"/>
  <c r="O30" i="26" s="1"/>
  <c r="J30" i="26" s="1"/>
  <c r="I30" i="26" s="1"/>
  <c r="F87" i="26"/>
  <c r="G87" i="26" s="1"/>
  <c r="S87" i="26" s="1"/>
  <c r="O87" i="26" s="1"/>
  <c r="J87" i="26" s="1"/>
  <c r="F83" i="26"/>
  <c r="F9" i="26"/>
  <c r="G9" i="26" s="1"/>
  <c r="S9" i="26" s="1"/>
  <c r="O9" i="26" s="1"/>
  <c r="F58" i="26"/>
  <c r="G58" i="26" s="1"/>
  <c r="S58" i="26" s="1"/>
  <c r="O58" i="26" s="1"/>
  <c r="F46" i="26"/>
  <c r="G46" i="26" s="1"/>
  <c r="S46" i="26" s="1"/>
  <c r="O46" i="26" s="1"/>
  <c r="J46" i="26" s="1"/>
  <c r="I46" i="26" s="1"/>
  <c r="F71" i="26"/>
  <c r="G71" i="26" s="1"/>
  <c r="S71" i="26" s="1"/>
  <c r="O71" i="26" s="1"/>
  <c r="J71" i="26" s="1"/>
  <c r="I71" i="26" s="1"/>
  <c r="F49" i="26"/>
  <c r="G49" i="26" s="1"/>
  <c r="S49" i="26" s="1"/>
  <c r="O49" i="26" s="1"/>
  <c r="J49" i="26" s="1"/>
  <c r="I49" i="26" s="1"/>
  <c r="F24" i="26"/>
  <c r="G24" i="26" s="1"/>
  <c r="S24" i="26" s="1"/>
  <c r="O24" i="26" s="1"/>
  <c r="J24" i="26" s="1"/>
  <c r="I24" i="26" s="1"/>
  <c r="F26" i="26"/>
  <c r="G26" i="26" s="1"/>
  <c r="S26" i="26" s="1"/>
  <c r="O26" i="26" s="1"/>
  <c r="F73" i="26"/>
  <c r="G73" i="26" s="1"/>
  <c r="S73" i="26" s="1"/>
  <c r="O73" i="26" s="1"/>
  <c r="F75" i="26"/>
  <c r="G75" i="26" s="1"/>
  <c r="S75" i="26" s="1"/>
  <c r="O75" i="26" s="1"/>
  <c r="F32" i="26"/>
  <c r="G32" i="26" s="1"/>
  <c r="S32" i="26" s="1"/>
  <c r="O32" i="26" s="1"/>
  <c r="J32" i="26" s="1"/>
  <c r="I32" i="26" s="1"/>
  <c r="F82" i="26"/>
  <c r="G82" i="26" s="1"/>
  <c r="F10" i="26"/>
  <c r="G10" i="26" s="1"/>
  <c r="S10" i="26" s="1"/>
  <c r="O10" i="26" s="1"/>
  <c r="F11" i="26"/>
  <c r="G11" i="26" s="1"/>
  <c r="F66" i="26"/>
  <c r="F14" i="26"/>
  <c r="G14" i="26" s="1"/>
  <c r="S14" i="26" s="1"/>
  <c r="O14" i="26" s="1"/>
  <c r="J14" i="26" s="1"/>
  <c r="I14" i="26" s="1"/>
  <c r="F15" i="26"/>
  <c r="G15" i="26" s="1"/>
  <c r="S15" i="26" s="1"/>
  <c r="O15" i="26" s="1"/>
  <c r="F16" i="26"/>
  <c r="G16" i="26" s="1"/>
  <c r="S16" i="26" s="1"/>
  <c r="O16" i="26" s="1"/>
  <c r="F17" i="26"/>
  <c r="G17" i="26" s="1"/>
  <c r="S17" i="26" s="1"/>
  <c r="O17" i="26" s="1"/>
  <c r="F18" i="26"/>
  <c r="G18" i="26" s="1"/>
  <c r="S18" i="26" s="1"/>
  <c r="O18" i="26" s="1"/>
  <c r="F19" i="26"/>
  <c r="G19" i="26" s="1"/>
  <c r="S19" i="26" s="1"/>
  <c r="O19" i="26" s="1"/>
  <c r="J19" i="26" s="1"/>
  <c r="I19" i="26" s="1"/>
  <c r="F20" i="26"/>
  <c r="G20" i="26" s="1"/>
  <c r="S20" i="26" s="1"/>
  <c r="O20" i="26" s="1"/>
  <c r="F69" i="26"/>
  <c r="G69" i="26" s="1"/>
  <c r="S69" i="26" s="1"/>
  <c r="O69" i="26" s="1"/>
  <c r="J69" i="26" s="1"/>
  <c r="I69" i="26" s="1"/>
  <c r="F21" i="26"/>
  <c r="G21" i="26" s="1"/>
  <c r="S21" i="26" s="1"/>
  <c r="O21" i="26" s="1"/>
  <c r="F22" i="26"/>
  <c r="F23" i="26"/>
  <c r="G23" i="26" s="1"/>
  <c r="F25" i="26"/>
  <c r="G25" i="26" s="1"/>
  <c r="S25" i="26" s="1"/>
  <c r="O25" i="26" s="1"/>
  <c r="F67" i="26"/>
  <c r="G67" i="26" s="1"/>
  <c r="S67" i="26" s="1"/>
  <c r="O67" i="26" s="1"/>
  <c r="J67" i="26" s="1"/>
  <c r="I67" i="26" s="1"/>
  <c r="F28" i="26"/>
  <c r="G28" i="26" s="1"/>
  <c r="S28" i="26" s="1"/>
  <c r="O28" i="26" s="1"/>
  <c r="F76" i="26"/>
  <c r="F78" i="26"/>
  <c r="G78" i="26" s="1"/>
  <c r="S78" i="26" s="1"/>
  <c r="O78" i="26" s="1"/>
  <c r="J78" i="26" s="1"/>
  <c r="I78" i="26" s="1"/>
  <c r="F31" i="26"/>
  <c r="G31" i="26" s="1"/>
  <c r="F33" i="26"/>
  <c r="G33" i="26" s="1"/>
  <c r="S33" i="26" s="1"/>
  <c r="O33" i="26" s="1"/>
  <c r="F34" i="26"/>
  <c r="G34" i="26" s="1"/>
  <c r="S34" i="26" s="1"/>
  <c r="O34" i="26" s="1"/>
  <c r="F35" i="26"/>
  <c r="G35" i="26" s="1"/>
  <c r="S35" i="26" s="1"/>
  <c r="O35" i="26" s="1"/>
  <c r="F50" i="26"/>
  <c r="G50" i="26" s="1"/>
  <c r="S50" i="26" s="1"/>
  <c r="O50" i="26" s="1"/>
  <c r="J50" i="26" s="1"/>
  <c r="I50" i="26" s="1"/>
  <c r="F37" i="26"/>
  <c r="G37" i="26" s="1"/>
  <c r="S37" i="26" s="1"/>
  <c r="O37" i="26" s="1"/>
  <c r="F38" i="26"/>
  <c r="G38" i="26" s="1"/>
  <c r="S38" i="26" s="1"/>
  <c r="O38" i="26" s="1"/>
  <c r="F39" i="26"/>
  <c r="G39" i="26" s="1"/>
  <c r="S39" i="26" s="1"/>
  <c r="O39" i="26" s="1"/>
  <c r="F41" i="26"/>
  <c r="G41" i="26" s="1"/>
  <c r="S41" i="26" s="1"/>
  <c r="O41" i="26" s="1"/>
  <c r="J41" i="26" s="1"/>
  <c r="I41" i="26" s="1"/>
  <c r="F42" i="26"/>
  <c r="G42" i="26" s="1"/>
  <c r="S42" i="26" s="1"/>
  <c r="O42" i="26" s="1"/>
  <c r="S82" i="26" l="1"/>
  <c r="R31" i="26"/>
  <c r="M31" i="26" s="1"/>
  <c r="K31" i="26" s="1"/>
  <c r="R11" i="26"/>
  <c r="S11" i="26" s="1"/>
  <c r="O11" i="26" s="1"/>
  <c r="R23" i="26"/>
  <c r="M23" i="26" s="1"/>
  <c r="K23" i="26" s="1"/>
  <c r="V82" i="26"/>
  <c r="O82" i="26"/>
  <c r="J82" i="26" s="1"/>
  <c r="I82" i="26" s="1"/>
  <c r="AC53" i="26"/>
  <c r="AC66" i="26" s="1"/>
  <c r="AC67" i="26" s="1"/>
  <c r="X9" i="54" l="1"/>
  <c r="X26" i="54"/>
  <c r="X50" i="54"/>
  <c r="X33" i="54"/>
  <c r="X19" i="54"/>
  <c r="W19" i="54" s="1"/>
  <c r="O19" i="54" s="1"/>
  <c r="X45" i="54"/>
  <c r="X93" i="54"/>
  <c r="X12" i="54"/>
  <c r="X30" i="54"/>
  <c r="X41" i="54"/>
  <c r="X13" i="54"/>
  <c r="X49" i="54"/>
  <c r="X46" i="54"/>
  <c r="X24" i="54"/>
  <c r="S23" i="26"/>
  <c r="O23" i="26" s="1"/>
  <c r="X23" i="26"/>
  <c r="Z23" i="26"/>
  <c r="M11" i="26"/>
  <c r="R8" i="26"/>
  <c r="AC72" i="26"/>
  <c r="AC74" i="26"/>
  <c r="AC69" i="26"/>
  <c r="AC70" i="26" s="1"/>
  <c r="S31" i="26"/>
  <c r="O31" i="26" s="1"/>
  <c r="W82" i="26"/>
  <c r="X31" i="26"/>
  <c r="Z31" i="26"/>
  <c r="M8" i="26" l="1"/>
  <c r="M90" i="26" s="1"/>
  <c r="K11" i="26"/>
  <c r="R82" i="26"/>
  <c r="AA82" i="26"/>
  <c r="AC78" i="26"/>
  <c r="AC76" i="26"/>
  <c r="X11" i="55"/>
  <c r="W11" i="55" s="1"/>
  <c r="O11" i="55" s="1"/>
  <c r="X15" i="55"/>
  <c r="W15" i="55" s="1"/>
  <c r="O15" i="55" s="1"/>
  <c r="X93" i="55"/>
  <c r="X41" i="55"/>
  <c r="X32" i="55"/>
  <c r="X46" i="55"/>
  <c r="X19" i="55"/>
  <c r="W19" i="55" s="1"/>
  <c r="O19" i="55" s="1"/>
  <c r="X25" i="55"/>
  <c r="W25" i="55" s="1"/>
  <c r="O25" i="55" s="1"/>
  <c r="X34" i="55"/>
  <c r="W34" i="55" s="1"/>
  <c r="O34" i="55" s="1"/>
  <c r="X38" i="55"/>
  <c r="W38" i="55" s="1"/>
  <c r="O38" i="55" s="1"/>
  <c r="X49" i="55"/>
  <c r="X31" i="55"/>
  <c r="W31" i="55" s="1"/>
  <c r="O31" i="55" s="1"/>
  <c r="X82" i="55"/>
  <c r="X43" i="55"/>
  <c r="X10" i="55"/>
  <c r="W10" i="55" s="1"/>
  <c r="O10" i="55" s="1"/>
  <c r="X29" i="55"/>
  <c r="W29" i="55" s="1"/>
  <c r="O29" i="55" s="1"/>
  <c r="X9" i="55"/>
  <c r="X13" i="55"/>
  <c r="X18" i="55"/>
  <c r="W18" i="55" s="1"/>
  <c r="O18" i="55" s="1"/>
  <c r="X24" i="55"/>
  <c r="X33" i="55"/>
  <c r="X45" i="55"/>
  <c r="X21" i="55"/>
  <c r="W21" i="55" s="1"/>
  <c r="O21" i="55" s="1"/>
  <c r="X30" i="55"/>
  <c r="X50" i="55"/>
  <c r="X42" i="55"/>
  <c r="W42" i="55" s="1"/>
  <c r="O42" i="55" s="1"/>
  <c r="X20" i="55"/>
  <c r="W20" i="55" s="1"/>
  <c r="O20" i="55" s="1"/>
  <c r="X26" i="55"/>
  <c r="X35" i="55"/>
  <c r="W35" i="55" s="1"/>
  <c r="O35" i="55" s="1"/>
  <c r="X39" i="55"/>
  <c r="W39" i="55" s="1"/>
  <c r="O39" i="55" s="1"/>
  <c r="X12" i="55"/>
  <c r="X17" i="55"/>
  <c r="W17" i="55" s="1"/>
  <c r="O17" i="55" s="1"/>
  <c r="X23" i="55"/>
  <c r="W23" i="55" s="1"/>
  <c r="O23" i="55" s="1"/>
  <c r="X37" i="55"/>
  <c r="W37" i="55" s="1"/>
  <c r="O37" i="55" s="1"/>
  <c r="Y43" i="54"/>
  <c r="L5" i="66" l="1"/>
  <c r="D6" i="66"/>
  <c r="X11" i="26"/>
  <c r="Z11" i="26"/>
  <c r="W43" i="54"/>
  <c r="O43" i="54" s="1"/>
  <c r="AA35" i="55" l="1"/>
  <c r="AG35" i="55" s="1"/>
  <c r="AA35" i="54"/>
  <c r="AG35" i="54" s="1"/>
  <c r="AA38" i="55"/>
  <c r="AG38" i="55" s="1"/>
  <c r="AA38" i="54"/>
  <c r="AG38" i="54" s="1"/>
  <c r="AA91" i="55"/>
  <c r="AA91" i="54"/>
  <c r="AA41" i="55"/>
  <c r="AA41" i="54"/>
  <c r="AA12" i="55"/>
  <c r="AA12" i="54"/>
  <c r="AA50" i="54"/>
  <c r="AA50" i="55"/>
  <c r="AA79" i="54"/>
  <c r="AA56" i="54"/>
  <c r="AA73" i="54"/>
  <c r="AA76" i="54"/>
  <c r="AA87" i="54"/>
  <c r="AB87" i="54" s="1"/>
  <c r="AA86" i="54"/>
  <c r="AB86" i="54" s="1"/>
  <c r="AA70" i="54"/>
  <c r="AA78" i="54"/>
  <c r="AA77" i="54"/>
  <c r="AA85" i="54"/>
  <c r="AB85" i="54" s="1"/>
  <c r="AA64" i="54"/>
  <c r="AA58" i="54"/>
  <c r="AA71" i="54"/>
  <c r="AA57" i="54"/>
  <c r="AA83" i="54"/>
  <c r="AB83" i="54" s="1"/>
  <c r="AA69" i="54"/>
  <c r="AA54" i="54"/>
  <c r="AA62" i="54"/>
  <c r="AA55" i="54"/>
  <c r="AA52" i="54"/>
  <c r="AA75" i="54"/>
  <c r="AA72" i="54"/>
  <c r="AA88" i="54"/>
  <c r="AB88" i="54" s="1"/>
  <c r="AA65" i="54"/>
  <c r="AA63" i="54"/>
  <c r="AA61" i="54"/>
  <c r="AA59" i="54"/>
  <c r="AA84" i="54"/>
  <c r="AB84" i="54" s="1"/>
  <c r="AA74" i="54"/>
  <c r="AA60" i="54"/>
  <c r="AA53" i="54"/>
  <c r="AA67" i="54"/>
  <c r="AA68" i="54"/>
  <c r="AA81" i="54"/>
  <c r="AB81" i="54" s="1"/>
  <c r="AA82" i="54"/>
  <c r="AB82" i="54" s="1"/>
  <c r="AA66" i="54"/>
  <c r="AA80" i="54"/>
  <c r="AB80" i="54" s="1"/>
  <c r="AA20" i="54" l="1"/>
  <c r="AG20" i="54" s="1"/>
  <c r="AA20" i="55"/>
  <c r="AG20" i="55" s="1"/>
  <c r="AG66" i="54"/>
  <c r="AH66" i="54" s="1"/>
  <c r="AB66" i="54"/>
  <c r="AB64" i="54"/>
  <c r="AG64" i="54"/>
  <c r="AH64" i="54" s="1"/>
  <c r="AA17" i="54"/>
  <c r="AG17" i="54" s="1"/>
  <c r="AA17" i="55"/>
  <c r="AG17" i="55" s="1"/>
  <c r="AA27" i="54"/>
  <c r="AA27" i="55"/>
  <c r="AG67" i="54"/>
  <c r="AH67" i="54" s="1"/>
  <c r="AB67" i="54"/>
  <c r="AA22" i="55"/>
  <c r="AA22" i="54"/>
  <c r="AD88" i="54"/>
  <c r="AA95" i="55"/>
  <c r="AA95" i="54"/>
  <c r="AG77" i="54"/>
  <c r="AH77" i="54" s="1"/>
  <c r="AB77" i="54"/>
  <c r="AA26" i="55"/>
  <c r="AA26" i="54"/>
  <c r="AA46" i="54"/>
  <c r="AA46" i="55"/>
  <c r="AA48" i="55"/>
  <c r="AA48" i="54"/>
  <c r="AA43" i="54"/>
  <c r="AA43" i="55"/>
  <c r="AG41" i="54"/>
  <c r="AH41" i="54" s="1"/>
  <c r="AB41" i="54"/>
  <c r="AA13" i="54"/>
  <c r="AA13" i="55"/>
  <c r="AA96" i="55"/>
  <c r="AA96" i="54"/>
  <c r="AA97" i="55"/>
  <c r="AA97" i="54"/>
  <c r="AB65" i="54"/>
  <c r="AG65" i="54"/>
  <c r="AH65" i="54" s="1"/>
  <c r="AA30" i="54"/>
  <c r="AA30" i="55"/>
  <c r="AA36" i="55"/>
  <c r="AG36" i="55" s="1"/>
  <c r="AA36" i="54"/>
  <c r="AG36" i="54" s="1"/>
  <c r="AD81" i="54"/>
  <c r="AB53" i="54"/>
  <c r="AG53" i="54"/>
  <c r="AH53" i="54" s="1"/>
  <c r="AA90" i="54"/>
  <c r="AA90" i="55"/>
  <c r="AG69" i="54"/>
  <c r="AH69" i="54" s="1"/>
  <c r="AB69" i="54"/>
  <c r="AB78" i="54"/>
  <c r="AG78" i="54"/>
  <c r="AH78" i="54" s="1"/>
  <c r="AA40" i="54"/>
  <c r="AG40" i="54" s="1"/>
  <c r="AA40" i="55"/>
  <c r="AG40" i="55" s="1"/>
  <c r="AA25" i="55"/>
  <c r="AG25" i="55" s="1"/>
  <c r="AA25" i="54"/>
  <c r="AG25" i="54" s="1"/>
  <c r="AA15" i="55"/>
  <c r="AG15" i="55" s="1"/>
  <c r="AA15" i="54"/>
  <c r="AG15" i="54" s="1"/>
  <c r="AA42" i="55"/>
  <c r="AG42" i="55" s="1"/>
  <c r="AA42" i="54"/>
  <c r="AG42" i="54" s="1"/>
  <c r="AB41" i="55"/>
  <c r="AG41" i="55"/>
  <c r="AH41" i="55" s="1"/>
  <c r="AB72" i="54"/>
  <c r="AG72" i="54"/>
  <c r="AH72" i="54" s="1"/>
  <c r="AB70" i="54"/>
  <c r="AG70" i="54"/>
  <c r="AH70" i="54" s="1"/>
  <c r="AA16" i="54"/>
  <c r="AG16" i="54" s="1"/>
  <c r="AA16" i="55"/>
  <c r="AG16" i="55" s="1"/>
  <c r="AA18" i="54"/>
  <c r="AG18" i="54" s="1"/>
  <c r="AA18" i="55"/>
  <c r="AG18" i="55" s="1"/>
  <c r="AB91" i="54"/>
  <c r="AG91" i="54"/>
  <c r="AH91" i="54" s="1"/>
  <c r="AA32" i="55"/>
  <c r="AA32" i="54"/>
  <c r="AA92" i="55"/>
  <c r="AA92" i="54"/>
  <c r="AG61" i="54"/>
  <c r="AH61" i="54" s="1"/>
  <c r="AB61" i="54"/>
  <c r="AG75" i="54"/>
  <c r="AH75" i="54" s="1"/>
  <c r="AB75" i="54"/>
  <c r="AB57" i="54"/>
  <c r="AG57" i="54"/>
  <c r="AH57" i="54" s="1"/>
  <c r="AD86" i="54"/>
  <c r="AA33" i="55"/>
  <c r="AA33" i="54"/>
  <c r="AA31" i="55"/>
  <c r="AG31" i="55" s="1"/>
  <c r="AA31" i="54"/>
  <c r="AG31" i="54" s="1"/>
  <c r="AA11" i="55"/>
  <c r="AG11" i="55" s="1"/>
  <c r="AA11" i="54"/>
  <c r="AG11" i="54" s="1"/>
  <c r="AA14" i="54"/>
  <c r="AG14" i="54" s="1"/>
  <c r="AA14" i="55"/>
  <c r="AG14" i="55" s="1"/>
  <c r="AB91" i="55"/>
  <c r="AG91" i="55"/>
  <c r="AH91" i="55" s="1"/>
  <c r="AI91" i="55" s="1"/>
  <c r="AD83" i="54"/>
  <c r="AG56" i="54"/>
  <c r="AH56" i="54" s="1"/>
  <c r="AB56" i="54"/>
  <c r="AD80" i="54"/>
  <c r="AA93" i="55"/>
  <c r="AA93" i="54"/>
  <c r="AG74" i="54"/>
  <c r="AH74" i="54" s="1"/>
  <c r="AB74" i="54"/>
  <c r="AG63" i="54"/>
  <c r="AH63" i="54" s="1"/>
  <c r="AB63" i="54"/>
  <c r="AG52" i="54"/>
  <c r="AH52" i="54" s="1"/>
  <c r="AB52" i="54"/>
  <c r="AB71" i="54"/>
  <c r="AG71" i="54"/>
  <c r="AH71" i="54" s="1"/>
  <c r="AA9" i="55"/>
  <c r="AA9" i="54"/>
  <c r="AA23" i="55"/>
  <c r="AG23" i="55" s="1"/>
  <c r="AA23" i="54"/>
  <c r="AG23" i="54" s="1"/>
  <c r="AA21" i="54"/>
  <c r="AG21" i="54" s="1"/>
  <c r="AA21" i="55"/>
  <c r="AG21" i="55" s="1"/>
  <c r="AG73" i="54"/>
  <c r="AH73" i="54" s="1"/>
  <c r="AB73" i="54"/>
  <c r="AA24" i="55"/>
  <c r="AA24" i="54"/>
  <c r="AB50" i="55"/>
  <c r="AG50" i="55"/>
  <c r="AH50" i="55" s="1"/>
  <c r="AD84" i="54"/>
  <c r="AA94" i="54"/>
  <c r="AA94" i="55"/>
  <c r="AB55" i="54"/>
  <c r="AG55" i="54"/>
  <c r="AH55" i="54" s="1"/>
  <c r="AB58" i="54"/>
  <c r="AG58" i="54"/>
  <c r="AH58" i="54" s="1"/>
  <c r="AD87" i="54"/>
  <c r="AG76" i="54"/>
  <c r="AH76" i="54" s="1"/>
  <c r="AB76" i="54"/>
  <c r="AA34" i="55"/>
  <c r="AG34" i="55" s="1"/>
  <c r="AA34" i="54"/>
  <c r="AG34" i="54" s="1"/>
  <c r="AA29" i="54"/>
  <c r="AG29" i="54" s="1"/>
  <c r="AA29" i="55"/>
  <c r="AG29" i="55" s="1"/>
  <c r="AB50" i="54"/>
  <c r="AG50" i="54"/>
  <c r="AH50" i="54" s="1"/>
  <c r="AB60" i="54"/>
  <c r="AG60" i="54"/>
  <c r="AH60" i="54" s="1"/>
  <c r="AA51" i="54"/>
  <c r="AA51" i="55"/>
  <c r="AA49" i="54"/>
  <c r="AA49" i="55"/>
  <c r="AG62" i="54"/>
  <c r="AH62" i="54" s="1"/>
  <c r="AB62" i="54"/>
  <c r="AA45" i="55"/>
  <c r="AA45" i="54"/>
  <c r="AG79" i="54"/>
  <c r="AH79" i="54" s="1"/>
  <c r="AB79" i="54"/>
  <c r="AG12" i="54"/>
  <c r="AH12" i="54" s="1"/>
  <c r="AB12" i="54"/>
  <c r="AD82" i="54"/>
  <c r="AG68" i="54"/>
  <c r="AH68" i="54" s="1"/>
  <c r="AB68" i="54"/>
  <c r="AB59" i="54"/>
  <c r="AG59" i="54"/>
  <c r="AH59" i="54" s="1"/>
  <c r="AB54" i="54"/>
  <c r="AG54" i="54"/>
  <c r="AH54" i="54" s="1"/>
  <c r="AD85" i="54"/>
  <c r="AA28" i="54"/>
  <c r="AG28" i="54" s="1"/>
  <c r="AA28" i="55"/>
  <c r="AG28" i="55" s="1"/>
  <c r="AA10" i="55"/>
  <c r="AG10" i="55" s="1"/>
  <c r="AA10" i="54"/>
  <c r="AG10" i="54" s="1"/>
  <c r="AA19" i="55"/>
  <c r="AG19" i="55" s="1"/>
  <c r="AA19" i="54"/>
  <c r="AG19" i="54" s="1"/>
  <c r="AA37" i="55"/>
  <c r="AG37" i="55" s="1"/>
  <c r="AA37" i="54"/>
  <c r="AG37" i="54" s="1"/>
  <c r="AA39" i="54"/>
  <c r="AG39" i="54" s="1"/>
  <c r="AA39" i="55"/>
  <c r="AG39" i="55" s="1"/>
  <c r="AB12" i="55"/>
  <c r="AG12" i="55"/>
  <c r="AH12" i="55" s="1"/>
  <c r="AJ59" i="54" l="1"/>
  <c r="AD79" i="54"/>
  <c r="AG51" i="55"/>
  <c r="AH51" i="55" s="1"/>
  <c r="AI51" i="55" s="1"/>
  <c r="AB51" i="55"/>
  <c r="AJ55" i="54"/>
  <c r="AG24" i="54"/>
  <c r="AH24" i="54" s="1"/>
  <c r="AB24" i="54"/>
  <c r="AG9" i="54"/>
  <c r="AH9" i="54" s="1"/>
  <c r="AB9" i="54"/>
  <c r="AD74" i="54"/>
  <c r="AD75" i="54"/>
  <c r="AJ91" i="54"/>
  <c r="AJ72" i="54"/>
  <c r="AB90" i="55"/>
  <c r="AG90" i="55"/>
  <c r="AH90" i="55" s="1"/>
  <c r="AI90" i="55" s="1"/>
  <c r="AG30" i="55"/>
  <c r="AH30" i="55" s="1"/>
  <c r="AB30" i="55"/>
  <c r="AB13" i="55"/>
  <c r="AG13" i="55"/>
  <c r="AH13" i="55" s="1"/>
  <c r="AB46" i="55"/>
  <c r="AG46" i="55"/>
  <c r="AH46" i="55" s="1"/>
  <c r="AD12" i="55"/>
  <c r="AD59" i="54"/>
  <c r="AJ79" i="54"/>
  <c r="AG51" i="54"/>
  <c r="AH51" i="54" s="1"/>
  <c r="AB51" i="54"/>
  <c r="AD55" i="54"/>
  <c r="AG24" i="55"/>
  <c r="AH24" i="55" s="1"/>
  <c r="AB24" i="55"/>
  <c r="AB9" i="55"/>
  <c r="AG9" i="55"/>
  <c r="AH9" i="55" s="1"/>
  <c r="AJ74" i="54"/>
  <c r="AJ75" i="54"/>
  <c r="AD91" i="54"/>
  <c r="AD72" i="54"/>
  <c r="AB90" i="54"/>
  <c r="AG90" i="54"/>
  <c r="AH90" i="54" s="1"/>
  <c r="AB30" i="54"/>
  <c r="AG30" i="54"/>
  <c r="AH30" i="54" s="1"/>
  <c r="AG13" i="54"/>
  <c r="AH13" i="54" s="1"/>
  <c r="AB13" i="54"/>
  <c r="AG46" i="54"/>
  <c r="AH46" i="54" s="1"/>
  <c r="AB46" i="54"/>
  <c r="AA98" i="55"/>
  <c r="AA98" i="54"/>
  <c r="AD68" i="54"/>
  <c r="AB45" i="54"/>
  <c r="AG45" i="54"/>
  <c r="AH45" i="54" s="1"/>
  <c r="AJ60" i="54"/>
  <c r="AD76" i="54"/>
  <c r="AG94" i="55"/>
  <c r="AH94" i="55" s="1"/>
  <c r="AB94" i="55"/>
  <c r="AD73" i="54"/>
  <c r="AJ71" i="54"/>
  <c r="AG93" i="54"/>
  <c r="AH93" i="54" s="1"/>
  <c r="AB93" i="54"/>
  <c r="AB33" i="54"/>
  <c r="AG33" i="54"/>
  <c r="AH33" i="54" s="1"/>
  <c r="AD61" i="54"/>
  <c r="AJ53" i="54"/>
  <c r="AJ65" i="54"/>
  <c r="AD41" i="54"/>
  <c r="AG26" i="54"/>
  <c r="AH26" i="54" s="1"/>
  <c r="AB26" i="54"/>
  <c r="AG22" i="54"/>
  <c r="AH22" i="54" s="1"/>
  <c r="AB22" i="54"/>
  <c r="AD22" i="54" s="1"/>
  <c r="AJ64" i="54"/>
  <c r="AJ68" i="54"/>
  <c r="AB45" i="55"/>
  <c r="AG45" i="55"/>
  <c r="AH45" i="55" s="1"/>
  <c r="AD60" i="54"/>
  <c r="AJ76" i="54"/>
  <c r="AG94" i="54"/>
  <c r="AH94" i="54" s="1"/>
  <c r="AB94" i="54"/>
  <c r="AJ73" i="54"/>
  <c r="AD71" i="54"/>
  <c r="AB93" i="55"/>
  <c r="AG93" i="55"/>
  <c r="AH93" i="55" s="1"/>
  <c r="AI93" i="55" s="1"/>
  <c r="AD91" i="55"/>
  <c r="AG33" i="55"/>
  <c r="AH33" i="55" s="1"/>
  <c r="AB33" i="55"/>
  <c r="AJ61" i="54"/>
  <c r="AD41" i="55"/>
  <c r="AD53" i="54"/>
  <c r="AD65" i="54"/>
  <c r="AB26" i="55"/>
  <c r="AG26" i="55"/>
  <c r="AH26" i="55" s="1"/>
  <c r="AG22" i="55"/>
  <c r="AH22" i="55" s="1"/>
  <c r="AI22" i="55" s="1"/>
  <c r="AB22" i="55"/>
  <c r="AD64" i="54"/>
  <c r="AD62" i="54"/>
  <c r="AD52" i="54"/>
  <c r="AB92" i="54"/>
  <c r="AG92" i="54"/>
  <c r="AH92" i="54" s="1"/>
  <c r="AJ78" i="54"/>
  <c r="AG97" i="54"/>
  <c r="AH97" i="54" s="1"/>
  <c r="AB97" i="54"/>
  <c r="AB43" i="55"/>
  <c r="AG43" i="55"/>
  <c r="AH43" i="55" s="1"/>
  <c r="AD77" i="54"/>
  <c r="AD67" i="54"/>
  <c r="AD66" i="54"/>
  <c r="AJ62" i="54"/>
  <c r="AD50" i="54"/>
  <c r="AJ52" i="54"/>
  <c r="AG92" i="55"/>
  <c r="AH92" i="55" s="1"/>
  <c r="AI92" i="55" s="1"/>
  <c r="AB92" i="55"/>
  <c r="AD78" i="54"/>
  <c r="AB97" i="55"/>
  <c r="AG97" i="55"/>
  <c r="AH97" i="55" s="1"/>
  <c r="AI97" i="55" s="1"/>
  <c r="AB43" i="54"/>
  <c r="AG43" i="54"/>
  <c r="AH43" i="54" s="1"/>
  <c r="AJ77" i="54"/>
  <c r="AJ67" i="54"/>
  <c r="AJ66" i="54"/>
  <c r="AJ54" i="54"/>
  <c r="AD12" i="54"/>
  <c r="AB49" i="55"/>
  <c r="AG49" i="55"/>
  <c r="AH49" i="55" s="1"/>
  <c r="AJ58" i="54"/>
  <c r="AD63" i="54"/>
  <c r="AD56" i="54"/>
  <c r="AJ57" i="54"/>
  <c r="AB32" i="54"/>
  <c r="AG32" i="54"/>
  <c r="AH32" i="54" s="1"/>
  <c r="AJ70" i="54"/>
  <c r="AD69" i="54"/>
  <c r="AG96" i="54"/>
  <c r="AH96" i="54" s="1"/>
  <c r="AB96" i="54"/>
  <c r="AG48" i="54"/>
  <c r="AH48" i="54" s="1"/>
  <c r="AB48" i="54"/>
  <c r="AG95" i="54"/>
  <c r="AH95" i="54" s="1"/>
  <c r="AB95" i="54"/>
  <c r="AG27" i="55"/>
  <c r="AH27" i="55" s="1"/>
  <c r="AI27" i="55" s="1"/>
  <c r="AB27" i="55"/>
  <c r="AD54" i="54"/>
  <c r="AG49" i="54"/>
  <c r="AH49" i="54" s="1"/>
  <c r="AB49" i="54"/>
  <c r="AD58" i="54"/>
  <c r="AD50" i="55"/>
  <c r="AJ63" i="54"/>
  <c r="AJ56" i="54"/>
  <c r="AD57" i="54"/>
  <c r="AG32" i="55"/>
  <c r="AH32" i="55" s="1"/>
  <c r="AB32" i="55"/>
  <c r="AD70" i="54"/>
  <c r="AJ69" i="54"/>
  <c r="AG96" i="55"/>
  <c r="AH96" i="55" s="1"/>
  <c r="AI96" i="55" s="1"/>
  <c r="AB96" i="55"/>
  <c r="AD96" i="55" s="1"/>
  <c r="AG48" i="55"/>
  <c r="AH48" i="55" s="1"/>
  <c r="AI48" i="55" s="1"/>
  <c r="AB48" i="55"/>
  <c r="AG95" i="55"/>
  <c r="AH95" i="55" s="1"/>
  <c r="AI95" i="55" s="1"/>
  <c r="AB95" i="55"/>
  <c r="AB27" i="54"/>
  <c r="AG27" i="54"/>
  <c r="AH27" i="54" s="1"/>
  <c r="AD45" i="55" l="1"/>
  <c r="AD27" i="54"/>
  <c r="AD48" i="54"/>
  <c r="AR48" i="54"/>
  <c r="AD92" i="54"/>
  <c r="AD22" i="55"/>
  <c r="AD33" i="54"/>
  <c r="AD94" i="55"/>
  <c r="AD24" i="55"/>
  <c r="AQ24" i="55"/>
  <c r="AD30" i="55"/>
  <c r="AD95" i="55"/>
  <c r="AJ48" i="54"/>
  <c r="AD32" i="54"/>
  <c r="AD97" i="55"/>
  <c r="AD96" i="54"/>
  <c r="AD93" i="55"/>
  <c r="AD93" i="54"/>
  <c r="AG98" i="54"/>
  <c r="AH98" i="54" s="1"/>
  <c r="AB98" i="54"/>
  <c r="AD30" i="54"/>
  <c r="AD51" i="55"/>
  <c r="AD95" i="54"/>
  <c r="AQ48" i="55"/>
  <c r="AD48" i="55"/>
  <c r="AD32" i="55"/>
  <c r="AJ96" i="54"/>
  <c r="AD49" i="55"/>
  <c r="AD97" i="54"/>
  <c r="AD26" i="55"/>
  <c r="AJ93" i="54"/>
  <c r="AG98" i="55"/>
  <c r="AH98" i="55" s="1"/>
  <c r="AI98" i="55" s="1"/>
  <c r="AB98" i="55"/>
  <c r="AJ90" i="54"/>
  <c r="AD90" i="55"/>
  <c r="AD24" i="54"/>
  <c r="AR24" i="54"/>
  <c r="AD27" i="55"/>
  <c r="AJ97" i="54"/>
  <c r="AJ22" i="54"/>
  <c r="AD90" i="54"/>
  <c r="AD51" i="54"/>
  <c r="AB102" i="54"/>
  <c r="AI32" i="54" s="1"/>
  <c r="AD9" i="54"/>
  <c r="AD92" i="55"/>
  <c r="AD33" i="55"/>
  <c r="AD26" i="54"/>
  <c r="AD46" i="54"/>
  <c r="AJ51" i="54"/>
  <c r="AD46" i="55"/>
  <c r="AJ27" i="54"/>
  <c r="AD49" i="54"/>
  <c r="AJ95" i="54"/>
  <c r="AJ92" i="54"/>
  <c r="AD94" i="54"/>
  <c r="AD45" i="54"/>
  <c r="AD13" i="54"/>
  <c r="AD9" i="55"/>
  <c r="AD13" i="55"/>
  <c r="AC26" i="54" l="1"/>
  <c r="M26" i="54" s="1"/>
  <c r="AC43" i="54"/>
  <c r="AI27" i="54"/>
  <c r="AC45" i="54"/>
  <c r="AC9" i="54"/>
  <c r="AI22" i="54"/>
  <c r="AB104" i="55"/>
  <c r="AC98" i="55" s="1"/>
  <c r="AD98" i="55"/>
  <c r="AQ98" i="55"/>
  <c r="AQ99" i="55" s="1"/>
  <c r="AR24" i="55" s="1"/>
  <c r="AC97" i="54"/>
  <c r="AC95" i="54"/>
  <c r="AR101" i="54"/>
  <c r="AC98" i="54"/>
  <c r="AD98" i="54"/>
  <c r="AC27" i="54"/>
  <c r="M43" i="54"/>
  <c r="AI104" i="55"/>
  <c r="AJ98" i="55" s="1"/>
  <c r="X98" i="55" s="1"/>
  <c r="AH102" i="54"/>
  <c r="AI102" i="54" s="1"/>
  <c r="AI98" i="54"/>
  <c r="AJ98" i="54"/>
  <c r="AI48" i="54"/>
  <c r="AC22" i="54"/>
  <c r="AO45" i="54"/>
  <c r="AC38" i="54"/>
  <c r="AC11" i="54"/>
  <c r="AO32" i="54"/>
  <c r="AO87" i="54"/>
  <c r="AI42" i="54"/>
  <c r="AO61" i="54"/>
  <c r="AO65" i="54"/>
  <c r="AO93" i="54"/>
  <c r="AC23" i="54"/>
  <c r="AO71" i="54"/>
  <c r="AC19" i="54"/>
  <c r="AO34" i="54"/>
  <c r="AO97" i="54"/>
  <c r="AI84" i="54"/>
  <c r="AI38" i="54"/>
  <c r="AC21" i="54"/>
  <c r="AO20" i="54"/>
  <c r="AU33" i="54"/>
  <c r="AO44" i="54"/>
  <c r="AO101" i="54"/>
  <c r="AI83" i="54"/>
  <c r="AI16" i="54"/>
  <c r="AU27" i="54"/>
  <c r="AC17" i="54"/>
  <c r="AO79" i="54"/>
  <c r="AO42" i="54"/>
  <c r="AI21" i="54"/>
  <c r="AI25" i="54"/>
  <c r="AO26" i="54"/>
  <c r="AO96" i="54"/>
  <c r="AO25" i="54"/>
  <c r="AO10" i="54"/>
  <c r="AU17" i="54"/>
  <c r="AI85" i="54"/>
  <c r="AO58" i="54"/>
  <c r="AO35" i="54"/>
  <c r="AO62" i="54"/>
  <c r="AO83" i="54"/>
  <c r="AO68" i="54"/>
  <c r="AO19" i="54"/>
  <c r="AO78" i="54"/>
  <c r="AI23" i="54"/>
  <c r="AO88" i="54"/>
  <c r="AO24" i="54"/>
  <c r="AO92" i="54"/>
  <c r="AC44" i="54"/>
  <c r="AO17" i="54"/>
  <c r="AO75" i="54"/>
  <c r="AU34" i="54"/>
  <c r="AC42" i="54"/>
  <c r="AO43" i="54"/>
  <c r="AO55" i="54"/>
  <c r="AO57" i="54"/>
  <c r="AO46" i="54"/>
  <c r="AU16" i="54"/>
  <c r="AU21" i="54"/>
  <c r="AC102" i="54"/>
  <c r="AI18" i="54"/>
  <c r="AU43" i="54"/>
  <c r="AU26" i="54"/>
  <c r="AU36" i="54"/>
  <c r="AO54" i="54"/>
  <c r="AO16" i="54"/>
  <c r="AU28" i="54"/>
  <c r="AO53" i="54"/>
  <c r="AO63" i="54"/>
  <c r="AO50" i="54"/>
  <c r="AU31" i="54"/>
  <c r="AO27" i="54"/>
  <c r="AO13" i="54"/>
  <c r="AO12" i="54"/>
  <c r="AO21" i="54"/>
  <c r="AO18" i="54"/>
  <c r="AO47" i="54"/>
  <c r="AU38" i="54"/>
  <c r="AI82" i="54"/>
  <c r="AC28" i="54"/>
  <c r="AI81" i="54"/>
  <c r="AC34" i="54"/>
  <c r="AC40" i="54"/>
  <c r="AO38" i="54"/>
  <c r="AO69" i="54"/>
  <c r="AU11" i="54"/>
  <c r="AI80" i="54"/>
  <c r="AI10" i="54"/>
  <c r="AO77" i="54"/>
  <c r="AO73" i="54"/>
  <c r="AI39" i="54"/>
  <c r="AU18" i="54"/>
  <c r="AO14" i="54"/>
  <c r="AI35" i="54"/>
  <c r="AO28" i="54"/>
  <c r="AO67" i="54"/>
  <c r="AO94" i="54"/>
  <c r="AU42" i="54"/>
  <c r="AI37" i="54"/>
  <c r="AO81" i="54"/>
  <c r="AU10" i="54"/>
  <c r="AO37" i="54"/>
  <c r="AO70" i="54"/>
  <c r="AI44" i="54"/>
  <c r="AC10" i="54"/>
  <c r="AC18" i="54"/>
  <c r="AO66" i="54"/>
  <c r="AO22" i="54"/>
  <c r="AI17" i="54"/>
  <c r="AI36" i="54"/>
  <c r="AO80" i="54"/>
  <c r="AO74" i="54"/>
  <c r="AO102" i="54"/>
  <c r="AC20" i="54"/>
  <c r="AU9" i="54"/>
  <c r="AI28" i="54"/>
  <c r="AI86" i="54"/>
  <c r="AU44" i="54"/>
  <c r="AO52" i="54"/>
  <c r="AI47" i="54"/>
  <c r="AI87" i="54"/>
  <c r="AU37" i="54"/>
  <c r="AC37" i="54"/>
  <c r="AC29" i="54"/>
  <c r="AO49" i="54"/>
  <c r="AC39" i="54"/>
  <c r="AO11" i="54"/>
  <c r="AO72" i="54"/>
  <c r="AC14" i="54"/>
  <c r="AO76" i="54"/>
  <c r="AO51" i="54"/>
  <c r="AU41" i="54"/>
  <c r="AI40" i="54"/>
  <c r="AU32" i="54"/>
  <c r="AC25" i="54"/>
  <c r="AO9" i="54"/>
  <c r="AI20" i="54"/>
  <c r="AU15" i="54"/>
  <c r="AU12" i="54"/>
  <c r="AU25" i="54"/>
  <c r="AU14" i="54"/>
  <c r="AU35" i="54"/>
  <c r="AO39" i="54"/>
  <c r="AC15" i="54"/>
  <c r="AI88" i="54"/>
  <c r="AO41" i="54"/>
  <c r="AU39" i="54"/>
  <c r="AO23" i="54"/>
  <c r="AC16" i="54"/>
  <c r="AI29" i="54"/>
  <c r="AI15" i="54"/>
  <c r="AO15" i="54"/>
  <c r="AO36" i="54"/>
  <c r="AO30" i="54"/>
  <c r="AU13" i="54"/>
  <c r="AI34" i="54"/>
  <c r="AU20" i="54"/>
  <c r="AO90" i="54"/>
  <c r="AO29" i="54"/>
  <c r="AI14" i="54"/>
  <c r="AO85" i="54"/>
  <c r="AO56" i="54"/>
  <c r="AU19" i="54"/>
  <c r="AC35" i="54"/>
  <c r="AO84" i="54"/>
  <c r="AO48" i="54"/>
  <c r="AO40" i="54"/>
  <c r="AO64" i="54"/>
  <c r="AO59" i="54"/>
  <c r="AU29" i="54"/>
  <c r="AI19" i="54"/>
  <c r="AO86" i="54"/>
  <c r="AO95" i="54"/>
  <c r="AC36" i="54"/>
  <c r="AO33" i="54"/>
  <c r="AU30" i="54"/>
  <c r="AU40" i="54"/>
  <c r="AU23" i="54"/>
  <c r="AI11" i="54"/>
  <c r="AO91" i="54"/>
  <c r="AC47" i="54"/>
  <c r="AO82" i="54"/>
  <c r="AO60" i="54"/>
  <c r="AC81" i="54"/>
  <c r="AC86" i="54"/>
  <c r="AC80" i="54"/>
  <c r="AC84" i="54"/>
  <c r="AC87" i="54"/>
  <c r="AC82" i="54"/>
  <c r="AC85" i="54"/>
  <c r="AC88" i="54"/>
  <c r="AC83" i="54"/>
  <c r="AC91" i="54"/>
  <c r="AC41" i="54"/>
  <c r="AI68" i="54"/>
  <c r="AC53" i="54"/>
  <c r="AC77" i="54"/>
  <c r="AI62" i="54"/>
  <c r="AI56" i="54"/>
  <c r="AI69" i="54"/>
  <c r="AI59" i="54"/>
  <c r="AC73" i="54"/>
  <c r="AC72" i="54"/>
  <c r="AC61" i="54"/>
  <c r="AI73" i="54"/>
  <c r="AC65" i="54"/>
  <c r="AI78" i="54"/>
  <c r="AC67" i="54"/>
  <c r="AC50" i="54"/>
  <c r="AC58" i="54"/>
  <c r="AC57" i="54"/>
  <c r="AI91" i="54"/>
  <c r="AI70" i="54"/>
  <c r="AC79" i="54"/>
  <c r="AI72" i="54"/>
  <c r="AI74" i="54"/>
  <c r="AI60" i="54"/>
  <c r="AI71" i="54"/>
  <c r="AI41" i="54"/>
  <c r="AC62" i="54"/>
  <c r="AI77" i="54"/>
  <c r="AC12" i="54"/>
  <c r="AC56" i="54"/>
  <c r="AC69" i="54"/>
  <c r="AC63" i="54"/>
  <c r="AI53" i="54"/>
  <c r="AC60" i="54"/>
  <c r="AC71" i="54"/>
  <c r="AI61" i="54"/>
  <c r="AI50" i="54"/>
  <c r="AC66" i="54"/>
  <c r="AC78" i="54"/>
  <c r="AC74" i="54"/>
  <c r="AC55" i="54"/>
  <c r="AC76" i="54"/>
  <c r="AI67" i="54"/>
  <c r="AI57" i="54"/>
  <c r="AC54" i="54"/>
  <c r="AI79" i="54"/>
  <c r="AI75" i="54"/>
  <c r="AI65" i="54"/>
  <c r="AI64" i="54"/>
  <c r="AI76" i="54"/>
  <c r="AC52" i="54"/>
  <c r="AI52" i="54"/>
  <c r="AI12" i="54"/>
  <c r="AI63" i="54"/>
  <c r="AC70" i="54"/>
  <c r="AC64" i="54"/>
  <c r="AI55" i="54"/>
  <c r="AC75" i="54"/>
  <c r="AC59" i="54"/>
  <c r="AC68" i="54"/>
  <c r="AI66" i="54"/>
  <c r="AI58" i="54"/>
  <c r="AI54" i="54"/>
  <c r="AC93" i="54"/>
  <c r="AI46" i="54"/>
  <c r="AC33" i="54"/>
  <c r="AC48" i="54"/>
  <c r="AI33" i="54"/>
  <c r="AI51" i="54"/>
  <c r="AC51" i="54"/>
  <c r="AI93" i="54"/>
  <c r="AI26" i="54"/>
  <c r="AI45" i="54"/>
  <c r="AC94" i="54"/>
  <c r="AI43" i="54"/>
  <c r="AS48" i="55"/>
  <c r="AC92" i="54"/>
  <c r="AT48" i="54"/>
  <c r="AI95" i="54"/>
  <c r="AC90" i="54"/>
  <c r="AI97" i="54"/>
  <c r="AC24" i="54"/>
  <c r="AC96" i="54"/>
  <c r="AS24" i="55"/>
  <c r="AI49" i="54"/>
  <c r="AC13" i="54"/>
  <c r="AC46" i="54"/>
  <c r="AR102" i="54"/>
  <c r="AI90" i="54"/>
  <c r="AI96" i="54"/>
  <c r="AH104" i="55"/>
  <c r="AC30" i="54"/>
  <c r="AI94" i="54"/>
  <c r="AI24" i="54"/>
  <c r="AI92" i="54"/>
  <c r="AC49" i="54"/>
  <c r="AI9" i="54"/>
  <c r="AT24" i="54"/>
  <c r="AI30" i="54"/>
  <c r="AC32" i="54"/>
  <c r="AI13" i="54"/>
  <c r="M98" i="55" l="1"/>
  <c r="AS94" i="54"/>
  <c r="AT94" i="54" s="1"/>
  <c r="AU94" i="54" s="1"/>
  <c r="AS50" i="54"/>
  <c r="AT50" i="54" s="1"/>
  <c r="AU50" i="54" s="1"/>
  <c r="AS11" i="54"/>
  <c r="AS28" i="54"/>
  <c r="AS77" i="54"/>
  <c r="AT77" i="54" s="1"/>
  <c r="AU77" i="54" s="1"/>
  <c r="AS71" i="54"/>
  <c r="AT71" i="54" s="1"/>
  <c r="AU71" i="54" s="1"/>
  <c r="AS47" i="54"/>
  <c r="AS16" i="54"/>
  <c r="AS53" i="54"/>
  <c r="AT53" i="54" s="1"/>
  <c r="AU53" i="54" s="1"/>
  <c r="AS14" i="54"/>
  <c r="AS85" i="54"/>
  <c r="AT85" i="54" s="1"/>
  <c r="AU85" i="54" s="1"/>
  <c r="AS74" i="54"/>
  <c r="AT74" i="54" s="1"/>
  <c r="AU74" i="54" s="1"/>
  <c r="AS80" i="54"/>
  <c r="AT80" i="54" s="1"/>
  <c r="AU80" i="54" s="1"/>
  <c r="AS70" i="54"/>
  <c r="AT70" i="54" s="1"/>
  <c r="AU70" i="54" s="1"/>
  <c r="AS57" i="54"/>
  <c r="AT57" i="54" s="1"/>
  <c r="AU57" i="54" s="1"/>
  <c r="AS78" i="54"/>
  <c r="AT78" i="54" s="1"/>
  <c r="AU78" i="54" s="1"/>
  <c r="AS40" i="54"/>
  <c r="AS19" i="54"/>
  <c r="AS83" i="54"/>
  <c r="AT83" i="54" s="1"/>
  <c r="AU83" i="54" s="1"/>
  <c r="AS15" i="54"/>
  <c r="AS58" i="54"/>
  <c r="AT58" i="54" s="1"/>
  <c r="AU58" i="54" s="1"/>
  <c r="AS45" i="54"/>
  <c r="AT45" i="54" s="1"/>
  <c r="AU45" i="54" s="1"/>
  <c r="AS22" i="54"/>
  <c r="AS87" i="54"/>
  <c r="AT87" i="54" s="1"/>
  <c r="AU87" i="54" s="1"/>
  <c r="AS84" i="54"/>
  <c r="AT84" i="54" s="1"/>
  <c r="AU84" i="54" s="1"/>
  <c r="AS102" i="54"/>
  <c r="AS66" i="54"/>
  <c r="AT66" i="54" s="1"/>
  <c r="AU66" i="54" s="1"/>
  <c r="AS64" i="54"/>
  <c r="AT64" i="54" s="1"/>
  <c r="AU64" i="54" s="1"/>
  <c r="AS33" i="54"/>
  <c r="AS9" i="54"/>
  <c r="AS49" i="54"/>
  <c r="AT49" i="54" s="1"/>
  <c r="AU49" i="54" s="1"/>
  <c r="AS59" i="54"/>
  <c r="AT59" i="54" s="1"/>
  <c r="AU59" i="54" s="1"/>
  <c r="AS10" i="54"/>
  <c r="AS55" i="54"/>
  <c r="AT55" i="54" s="1"/>
  <c r="AU55" i="54" s="1"/>
  <c r="AS32" i="54"/>
  <c r="AS68" i="54"/>
  <c r="AT68" i="54" s="1"/>
  <c r="AU68" i="54" s="1"/>
  <c r="AS12" i="54"/>
  <c r="AS34" i="54"/>
  <c r="AS30" i="54"/>
  <c r="AS38" i="54"/>
  <c r="AS31" i="54"/>
  <c r="AS42" i="54"/>
  <c r="AS52" i="54"/>
  <c r="AT52" i="54" s="1"/>
  <c r="AU52" i="54" s="1"/>
  <c r="AS91" i="54"/>
  <c r="AT91" i="54" s="1"/>
  <c r="AU91" i="54" s="1"/>
  <c r="AS18" i="54"/>
  <c r="AS75" i="54"/>
  <c r="AT75" i="54" s="1"/>
  <c r="AU75" i="54" s="1"/>
  <c r="AS79" i="54"/>
  <c r="AT79" i="54" s="1"/>
  <c r="AU79" i="54" s="1"/>
  <c r="AS95" i="54"/>
  <c r="AT95" i="54" s="1"/>
  <c r="AU95" i="54" s="1"/>
  <c r="AS25" i="54"/>
  <c r="AS82" i="54"/>
  <c r="AT82" i="54" s="1"/>
  <c r="AU82" i="54" s="1"/>
  <c r="AS27" i="54"/>
  <c r="AS69" i="54"/>
  <c r="AT69" i="54" s="1"/>
  <c r="AU69" i="54" s="1"/>
  <c r="AS36" i="54"/>
  <c r="AS86" i="54"/>
  <c r="AT86" i="54" s="1"/>
  <c r="AU86" i="54" s="1"/>
  <c r="AS17" i="54"/>
  <c r="AS44" i="54"/>
  <c r="AS88" i="54"/>
  <c r="AT88" i="54" s="1"/>
  <c r="AU88" i="54" s="1"/>
  <c r="AS96" i="54"/>
  <c r="AT96" i="54" s="1"/>
  <c r="AU96" i="54" s="1"/>
  <c r="AS35" i="54"/>
  <c r="AS43" i="54"/>
  <c r="AS76" i="54"/>
  <c r="AT76" i="54" s="1"/>
  <c r="AU76" i="54" s="1"/>
  <c r="AS92" i="54"/>
  <c r="AT92" i="54" s="1"/>
  <c r="AU92" i="54" s="1"/>
  <c r="AS54" i="54"/>
  <c r="AT54" i="54" s="1"/>
  <c r="AU54" i="54" s="1"/>
  <c r="AS65" i="54"/>
  <c r="AT65" i="54" s="1"/>
  <c r="AU65" i="54" s="1"/>
  <c r="AS51" i="54"/>
  <c r="AT51" i="54" s="1"/>
  <c r="AU51" i="54" s="1"/>
  <c r="AS81" i="54"/>
  <c r="AT81" i="54" s="1"/>
  <c r="AU81" i="54" s="1"/>
  <c r="AS26" i="54"/>
  <c r="AS39" i="54"/>
  <c r="AS20" i="54"/>
  <c r="AS23" i="54"/>
  <c r="AS61" i="54"/>
  <c r="AT61" i="54" s="1"/>
  <c r="AU61" i="54" s="1"/>
  <c r="AS41" i="54"/>
  <c r="AS29" i="54"/>
  <c r="AS93" i="54"/>
  <c r="AT93" i="54" s="1"/>
  <c r="AU93" i="54" s="1"/>
  <c r="AS67" i="54"/>
  <c r="AT67" i="54" s="1"/>
  <c r="AU67" i="54" s="1"/>
  <c r="AS63" i="54"/>
  <c r="AT63" i="54" s="1"/>
  <c r="AU63" i="54" s="1"/>
  <c r="AS90" i="54"/>
  <c r="AT90" i="54" s="1"/>
  <c r="AU90" i="54" s="1"/>
  <c r="AS56" i="54"/>
  <c r="AT56" i="54" s="1"/>
  <c r="AU56" i="54" s="1"/>
  <c r="AS37" i="54"/>
  <c r="AS72" i="54"/>
  <c r="AT72" i="54" s="1"/>
  <c r="AU72" i="54" s="1"/>
  <c r="AS21" i="54"/>
  <c r="AS13" i="54"/>
  <c r="AS62" i="54"/>
  <c r="AT62" i="54" s="1"/>
  <c r="AU62" i="54" s="1"/>
  <c r="AS73" i="54"/>
  <c r="AT73" i="54" s="1"/>
  <c r="AU73" i="54" s="1"/>
  <c r="AS97" i="54"/>
  <c r="AT97" i="54" s="1"/>
  <c r="AU97" i="54" s="1"/>
  <c r="AS60" i="54"/>
  <c r="AT60" i="54" s="1"/>
  <c r="AU60" i="54" s="1"/>
  <c r="AS46" i="54"/>
  <c r="AT46" i="54" s="1"/>
  <c r="AU46" i="54" s="1"/>
  <c r="AR98" i="55"/>
  <c r="AR97" i="55"/>
  <c r="AS97" i="55" s="1"/>
  <c r="AR47" i="55"/>
  <c r="AR90" i="55"/>
  <c r="AS90" i="55" s="1"/>
  <c r="AR79" i="55"/>
  <c r="AR50" i="55"/>
  <c r="AS50" i="55" s="1"/>
  <c r="AT50" i="55" s="1"/>
  <c r="AR56" i="55"/>
  <c r="AR14" i="55"/>
  <c r="AR96" i="55"/>
  <c r="AS96" i="55" s="1"/>
  <c r="AR58" i="55"/>
  <c r="AR17" i="55"/>
  <c r="AR83" i="55"/>
  <c r="AR39" i="55"/>
  <c r="AR59" i="55"/>
  <c r="AR46" i="55"/>
  <c r="AS46" i="55" s="1"/>
  <c r="AT46" i="55" s="1"/>
  <c r="AR57" i="55"/>
  <c r="AR21" i="55"/>
  <c r="AR87" i="55"/>
  <c r="AR63" i="55"/>
  <c r="AR13" i="55"/>
  <c r="AR25" i="55"/>
  <c r="AR78" i="55"/>
  <c r="AR15" i="55"/>
  <c r="AR43" i="55"/>
  <c r="AR26" i="55"/>
  <c r="AR74" i="55"/>
  <c r="AR20" i="55"/>
  <c r="AR18" i="55"/>
  <c r="AR29" i="55"/>
  <c r="AR65" i="55"/>
  <c r="AR40" i="55"/>
  <c r="AR55" i="55"/>
  <c r="AR44" i="55"/>
  <c r="AR69" i="55"/>
  <c r="AR37" i="55"/>
  <c r="AR72" i="55"/>
  <c r="AR42" i="55"/>
  <c r="AR23" i="55"/>
  <c r="AR86" i="55"/>
  <c r="AR22" i="55"/>
  <c r="AR93" i="55"/>
  <c r="AS93" i="55" s="1"/>
  <c r="AR84" i="55"/>
  <c r="AR41" i="55"/>
  <c r="AR51" i="55"/>
  <c r="AS51" i="55" s="1"/>
  <c r="AT51" i="55" s="1"/>
  <c r="AR34" i="55"/>
  <c r="AR49" i="55"/>
  <c r="AS49" i="55" s="1"/>
  <c r="AT49" i="55" s="1"/>
  <c r="AR95" i="55"/>
  <c r="AS95" i="55" s="1"/>
  <c r="AR80" i="55"/>
  <c r="AR10" i="55"/>
  <c r="AR62" i="55"/>
  <c r="AR53" i="55"/>
  <c r="AR45" i="55"/>
  <c r="AS45" i="55" s="1"/>
  <c r="AT45" i="55" s="1"/>
  <c r="AR11" i="55"/>
  <c r="AR66" i="55"/>
  <c r="AR27" i="55"/>
  <c r="AR73" i="55"/>
  <c r="AR70" i="55"/>
  <c r="AR67" i="55"/>
  <c r="AR33" i="55"/>
  <c r="AR35" i="55"/>
  <c r="AR36" i="55"/>
  <c r="AR76" i="55"/>
  <c r="AR31" i="55"/>
  <c r="AR82" i="55"/>
  <c r="AR94" i="55"/>
  <c r="AS94" i="55" s="1"/>
  <c r="AR68" i="55"/>
  <c r="AR16" i="55"/>
  <c r="AR85" i="55"/>
  <c r="AR32" i="55"/>
  <c r="AR38" i="55"/>
  <c r="AR12" i="55"/>
  <c r="AR30" i="55"/>
  <c r="AR81" i="55"/>
  <c r="AR60" i="55"/>
  <c r="AR28" i="55"/>
  <c r="AR9" i="55"/>
  <c r="AR52" i="55"/>
  <c r="AR19" i="55"/>
  <c r="AR91" i="55"/>
  <c r="AS91" i="55" s="1"/>
  <c r="AR71" i="55"/>
  <c r="AR64" i="55"/>
  <c r="AR92" i="55"/>
  <c r="AS92" i="55" s="1"/>
  <c r="AR77" i="55"/>
  <c r="AR61" i="55"/>
  <c r="AR75" i="55"/>
  <c r="AR54" i="55"/>
  <c r="AR99" i="55"/>
  <c r="AR88" i="55"/>
  <c r="M48" i="54"/>
  <c r="M33" i="54"/>
  <c r="AJ102" i="54"/>
  <c r="AK98" i="54" s="1"/>
  <c r="X98" i="54" s="1"/>
  <c r="AD102" i="54"/>
  <c r="AE98" i="54" s="1"/>
  <c r="AT101" i="54"/>
  <c r="AC96" i="55"/>
  <c r="AN36" i="55"/>
  <c r="AT58" i="55"/>
  <c r="AN11" i="55"/>
  <c r="AN55" i="55"/>
  <c r="AN60" i="55"/>
  <c r="AT86" i="55"/>
  <c r="AC40" i="55"/>
  <c r="AC70" i="55"/>
  <c r="AC38" i="55"/>
  <c r="AN77" i="55"/>
  <c r="AT38" i="55"/>
  <c r="AC83" i="55"/>
  <c r="AC19" i="55"/>
  <c r="AN15" i="55"/>
  <c r="AN18" i="55"/>
  <c r="AN63" i="55"/>
  <c r="AN14" i="55"/>
  <c r="AC86" i="55"/>
  <c r="AN72" i="55"/>
  <c r="AN45" i="55"/>
  <c r="AT60" i="55"/>
  <c r="AN57" i="55"/>
  <c r="AN91" i="55"/>
  <c r="AN75" i="55"/>
  <c r="AN41" i="55"/>
  <c r="AC64" i="55"/>
  <c r="AT71" i="55"/>
  <c r="AN50" i="55"/>
  <c r="AN47" i="55"/>
  <c r="AN40" i="55"/>
  <c r="AT69" i="55"/>
  <c r="AN56" i="55"/>
  <c r="AT52" i="55"/>
  <c r="AT16" i="55"/>
  <c r="AN37" i="55"/>
  <c r="AN96" i="55"/>
  <c r="AC17" i="55"/>
  <c r="AT14" i="55"/>
  <c r="AN42" i="55"/>
  <c r="AT59" i="55"/>
  <c r="AN22" i="55"/>
  <c r="AN12" i="55"/>
  <c r="AT39" i="55"/>
  <c r="AC78" i="55"/>
  <c r="AC68" i="55"/>
  <c r="AN70" i="55"/>
  <c r="AN92" i="55"/>
  <c r="AC60" i="55"/>
  <c r="AN104" i="55"/>
  <c r="AT70" i="55"/>
  <c r="AC79" i="55"/>
  <c r="AN87" i="55"/>
  <c r="AT76" i="55"/>
  <c r="AT80" i="55"/>
  <c r="AT65" i="55"/>
  <c r="AN90" i="55"/>
  <c r="AT82" i="55"/>
  <c r="AC18" i="55"/>
  <c r="AT40" i="55"/>
  <c r="AN30" i="55"/>
  <c r="AT26" i="55"/>
  <c r="AT43" i="55"/>
  <c r="AC67" i="55"/>
  <c r="AC14" i="55"/>
  <c r="AT18" i="55"/>
  <c r="AC55" i="55"/>
  <c r="AN79" i="55"/>
  <c r="AN61" i="55"/>
  <c r="AN51" i="55"/>
  <c r="AN84" i="55"/>
  <c r="AC16" i="55"/>
  <c r="AC23" i="55"/>
  <c r="AC61" i="55"/>
  <c r="AC11" i="55"/>
  <c r="AN23" i="55"/>
  <c r="AN48" i="55"/>
  <c r="AN17" i="55"/>
  <c r="AN34" i="55"/>
  <c r="AN19" i="55"/>
  <c r="AC29" i="55"/>
  <c r="AT11" i="55"/>
  <c r="AT64" i="55"/>
  <c r="AN76" i="55"/>
  <c r="AT21" i="55"/>
  <c r="AC37" i="55"/>
  <c r="AN21" i="55"/>
  <c r="AN9" i="55"/>
  <c r="AN29" i="55"/>
  <c r="AC54" i="55"/>
  <c r="AN64" i="55"/>
  <c r="AT85" i="55"/>
  <c r="AT28" i="55"/>
  <c r="AN59" i="55"/>
  <c r="AC42" i="55"/>
  <c r="AC10" i="55"/>
  <c r="AN71" i="55"/>
  <c r="AT10" i="55"/>
  <c r="AT53" i="55"/>
  <c r="AT66" i="55"/>
  <c r="AT41" i="55"/>
  <c r="AT57" i="55"/>
  <c r="AC39" i="55"/>
  <c r="AN28" i="55"/>
  <c r="AN98" i="55"/>
  <c r="AC36" i="55"/>
  <c r="AN78" i="55"/>
  <c r="AT19" i="55"/>
  <c r="AN58" i="55"/>
  <c r="AC85" i="55"/>
  <c r="AC56" i="55"/>
  <c r="AN10" i="55"/>
  <c r="AC88" i="55"/>
  <c r="AN44" i="55"/>
  <c r="AC81" i="55"/>
  <c r="AN54" i="55"/>
  <c r="AT62" i="55"/>
  <c r="AN27" i="55"/>
  <c r="AT83" i="55"/>
  <c r="AT13" i="55"/>
  <c r="AT73" i="55"/>
  <c r="AT35" i="55"/>
  <c r="AT79" i="55"/>
  <c r="AN85" i="55"/>
  <c r="AN26" i="55"/>
  <c r="AC77" i="55"/>
  <c r="AN46" i="55"/>
  <c r="AC73" i="55"/>
  <c r="AN69" i="55"/>
  <c r="AT37" i="55"/>
  <c r="AN68" i="55"/>
  <c r="AC52" i="55"/>
  <c r="AN39" i="55"/>
  <c r="AC57" i="55"/>
  <c r="AC69" i="55"/>
  <c r="AN65" i="55"/>
  <c r="AT42" i="55"/>
  <c r="AN95" i="55"/>
  <c r="AT17" i="55"/>
  <c r="AT87" i="55"/>
  <c r="AT15" i="55"/>
  <c r="AN81" i="55"/>
  <c r="AN66" i="55"/>
  <c r="AC21" i="55"/>
  <c r="AN32" i="55"/>
  <c r="AT78" i="55"/>
  <c r="AT75" i="55"/>
  <c r="AT36" i="55"/>
  <c r="AN93" i="55"/>
  <c r="AN82" i="55"/>
  <c r="AN80" i="55"/>
  <c r="AN62" i="55"/>
  <c r="AN73" i="55"/>
  <c r="AC72" i="55"/>
  <c r="AN24" i="55"/>
  <c r="AC34" i="55"/>
  <c r="AN52" i="55"/>
  <c r="AT63" i="55"/>
  <c r="AT55" i="55"/>
  <c r="AC63" i="55"/>
  <c r="AT81" i="55"/>
  <c r="AN74" i="55"/>
  <c r="AT72" i="55"/>
  <c r="AC80" i="55"/>
  <c r="AN49" i="55"/>
  <c r="AT30" i="55"/>
  <c r="AC58" i="55"/>
  <c r="AC47" i="55"/>
  <c r="AN88" i="55"/>
  <c r="AT20" i="55"/>
  <c r="AN20" i="55"/>
  <c r="AN16" i="55"/>
  <c r="AN38" i="55"/>
  <c r="AC44" i="55"/>
  <c r="AN83" i="55"/>
  <c r="AN33" i="55"/>
  <c r="AC35" i="55"/>
  <c r="AC104" i="55"/>
  <c r="AC53" i="55"/>
  <c r="AT29" i="55"/>
  <c r="AN67" i="55"/>
  <c r="AT68" i="55"/>
  <c r="AT32" i="55"/>
  <c r="AT84" i="55"/>
  <c r="AC62" i="55"/>
  <c r="AN35" i="55"/>
  <c r="AT33" i="55"/>
  <c r="AC82" i="55"/>
  <c r="AC20" i="55"/>
  <c r="AC84" i="55"/>
  <c r="AN94" i="55"/>
  <c r="AN25" i="55"/>
  <c r="AT67" i="55"/>
  <c r="AC15" i="55"/>
  <c r="AT12" i="55"/>
  <c r="AC75" i="55"/>
  <c r="AC71" i="55"/>
  <c r="AC66" i="55"/>
  <c r="AN13" i="55"/>
  <c r="AC87" i="55"/>
  <c r="AT31" i="55"/>
  <c r="AC76" i="55"/>
  <c r="AT54" i="55"/>
  <c r="AT88" i="55"/>
  <c r="AT23" i="55"/>
  <c r="AT34" i="55"/>
  <c r="AT77" i="55"/>
  <c r="AT25" i="55"/>
  <c r="AT27" i="55"/>
  <c r="AN43" i="55"/>
  <c r="AC59" i="55"/>
  <c r="AT9" i="55"/>
  <c r="AT44" i="55"/>
  <c r="AC28" i="55"/>
  <c r="AC74" i="55"/>
  <c r="AN86" i="55"/>
  <c r="AC25" i="55"/>
  <c r="AN97" i="55"/>
  <c r="AT61" i="55"/>
  <c r="AT74" i="55"/>
  <c r="AT56" i="55"/>
  <c r="AC65" i="55"/>
  <c r="AN53" i="55"/>
  <c r="AC91" i="55"/>
  <c r="AC50" i="55"/>
  <c r="AC12" i="55"/>
  <c r="AC41" i="55"/>
  <c r="AC93" i="55"/>
  <c r="AC92" i="55"/>
  <c r="AC26" i="55"/>
  <c r="AC45" i="55"/>
  <c r="AC33" i="55"/>
  <c r="AC9" i="55"/>
  <c r="AC24" i="55"/>
  <c r="AC95" i="55"/>
  <c r="AC97" i="55"/>
  <c r="AC43" i="55"/>
  <c r="AC48" i="55"/>
  <c r="AC49" i="55"/>
  <c r="AC22" i="55"/>
  <c r="AC51" i="55"/>
  <c r="AC90" i="55"/>
  <c r="AC32" i="55"/>
  <c r="AC27" i="55"/>
  <c r="AC46" i="55"/>
  <c r="AC13" i="55"/>
  <c r="AC94" i="55"/>
  <c r="AC30" i="55"/>
  <c r="R24" i="55"/>
  <c r="R8" i="55" s="1"/>
  <c r="M94" i="54"/>
  <c r="M12" i="54"/>
  <c r="M98" i="54"/>
  <c r="M30" i="54"/>
  <c r="M46" i="54"/>
  <c r="M96" i="54"/>
  <c r="M47" i="54"/>
  <c r="AS101" i="54"/>
  <c r="M9" i="54"/>
  <c r="M32" i="54"/>
  <c r="AR48" i="55"/>
  <c r="AS48" i="54"/>
  <c r="M51" i="54"/>
  <c r="M95" i="54"/>
  <c r="M49" i="54"/>
  <c r="M13" i="54"/>
  <c r="M24" i="54"/>
  <c r="M93" i="54"/>
  <c r="M97" i="54"/>
  <c r="M92" i="54"/>
  <c r="M41" i="54"/>
  <c r="M22" i="54"/>
  <c r="M27" i="54"/>
  <c r="AS24" i="54"/>
  <c r="M90" i="54"/>
  <c r="K24" i="55"/>
  <c r="I24" i="55"/>
  <c r="F24" i="55"/>
  <c r="G24" i="55"/>
  <c r="Q24" i="55"/>
  <c r="J24" i="55"/>
  <c r="H24" i="55"/>
  <c r="M50" i="54"/>
  <c r="M91" i="54"/>
  <c r="AJ92" i="55"/>
  <c r="X92" i="55" s="1"/>
  <c r="AJ71" i="55"/>
  <c r="X71" i="55" s="1"/>
  <c r="AJ73" i="55"/>
  <c r="X73" i="55" s="1"/>
  <c r="AJ59" i="55"/>
  <c r="X59" i="55" s="1"/>
  <c r="AJ81" i="55"/>
  <c r="X81" i="55" s="1"/>
  <c r="AJ65" i="55"/>
  <c r="X65" i="55" s="1"/>
  <c r="AJ25" i="55"/>
  <c r="AJ49" i="55"/>
  <c r="AJ17" i="55"/>
  <c r="AJ20" i="55"/>
  <c r="AJ39" i="55"/>
  <c r="AJ13" i="55"/>
  <c r="AJ45" i="55"/>
  <c r="AJ66" i="55"/>
  <c r="AJ54" i="55"/>
  <c r="X54" i="55" s="1"/>
  <c r="AJ69" i="55"/>
  <c r="X69" i="55" s="1"/>
  <c r="AJ60" i="55"/>
  <c r="X60" i="55" s="1"/>
  <c r="AJ67" i="55"/>
  <c r="X67" i="55" s="1"/>
  <c r="AJ58" i="55"/>
  <c r="X58" i="55" s="1"/>
  <c r="AJ101" i="55"/>
  <c r="AJ19" i="55"/>
  <c r="AJ61" i="55"/>
  <c r="X61" i="55" s="1"/>
  <c r="AJ62" i="55"/>
  <c r="X62" i="55" s="1"/>
  <c r="AJ78" i="55"/>
  <c r="X78" i="55" s="1"/>
  <c r="AJ56" i="55"/>
  <c r="X56" i="55" s="1"/>
  <c r="AJ24" i="55"/>
  <c r="AJ33" i="55"/>
  <c r="AJ46" i="55"/>
  <c r="AJ35" i="55"/>
  <c r="AJ16" i="55"/>
  <c r="AJ12" i="55"/>
  <c r="AJ57" i="55"/>
  <c r="X57" i="55" s="1"/>
  <c r="AJ55" i="55"/>
  <c r="X55" i="55" s="1"/>
  <c r="AJ94" i="55"/>
  <c r="X94" i="55" s="1"/>
  <c r="AJ10" i="55"/>
  <c r="AJ38" i="55"/>
  <c r="AJ80" i="55"/>
  <c r="X80" i="55" s="1"/>
  <c r="AJ37" i="55"/>
  <c r="AJ23" i="55"/>
  <c r="AJ11" i="55"/>
  <c r="AJ21" i="55"/>
  <c r="AJ74" i="55"/>
  <c r="X74" i="55" s="1"/>
  <c r="AJ88" i="55"/>
  <c r="X88" i="55" s="1"/>
  <c r="AJ40" i="55"/>
  <c r="X40" i="55" s="1"/>
  <c r="AJ70" i="55"/>
  <c r="X70" i="55" s="1"/>
  <c r="AJ41" i="55"/>
  <c r="AJ75" i="55"/>
  <c r="X75" i="55" s="1"/>
  <c r="AJ32" i="55"/>
  <c r="AJ82" i="55"/>
  <c r="AJ36" i="55"/>
  <c r="AJ14" i="55"/>
  <c r="AJ52" i="55"/>
  <c r="X52" i="55" s="1"/>
  <c r="AJ84" i="55"/>
  <c r="X84" i="55" s="1"/>
  <c r="AJ79" i="55"/>
  <c r="X79" i="55" s="1"/>
  <c r="AJ87" i="55"/>
  <c r="X87" i="55" s="1"/>
  <c r="AJ76" i="55"/>
  <c r="AJ77" i="55"/>
  <c r="X77" i="55" s="1"/>
  <c r="AJ42" i="55"/>
  <c r="AJ43" i="55"/>
  <c r="AJ18" i="55"/>
  <c r="AJ85" i="55"/>
  <c r="X85" i="55" s="1"/>
  <c r="AJ64" i="55"/>
  <c r="X64" i="55" s="1"/>
  <c r="AJ72" i="55"/>
  <c r="X72" i="55" s="1"/>
  <c r="AJ53" i="55"/>
  <c r="X53" i="55" s="1"/>
  <c r="AJ47" i="55"/>
  <c r="X47" i="55" s="1"/>
  <c r="AJ15" i="55"/>
  <c r="AJ29" i="55"/>
  <c r="AJ44" i="55"/>
  <c r="AJ30" i="55"/>
  <c r="AJ31" i="55"/>
  <c r="AJ63" i="55"/>
  <c r="X63" i="55" s="1"/>
  <c r="AJ83" i="55"/>
  <c r="X83" i="55" s="1"/>
  <c r="AJ28" i="55"/>
  <c r="AJ68" i="55"/>
  <c r="X68" i="55" s="1"/>
  <c r="AJ26" i="55"/>
  <c r="AJ50" i="55"/>
  <c r="AJ86" i="55"/>
  <c r="X86" i="55" s="1"/>
  <c r="AJ34" i="55"/>
  <c r="AJ91" i="55"/>
  <c r="X91" i="55" s="1"/>
  <c r="AJ27" i="55"/>
  <c r="X27" i="55" s="1"/>
  <c r="AJ96" i="55"/>
  <c r="X96" i="55" s="1"/>
  <c r="AJ90" i="55"/>
  <c r="X90" i="55" s="1"/>
  <c r="AJ48" i="55"/>
  <c r="X48" i="55" s="1"/>
  <c r="AJ22" i="55"/>
  <c r="X22" i="55" s="1"/>
  <c r="AJ93" i="55"/>
  <c r="AJ95" i="55"/>
  <c r="X95" i="55" s="1"/>
  <c r="AJ97" i="55"/>
  <c r="X97" i="55" s="1"/>
  <c r="AJ51" i="55"/>
  <c r="X51" i="55" s="1"/>
  <c r="AD104" i="55"/>
  <c r="AE98" i="55" s="1"/>
  <c r="AS98" i="55"/>
  <c r="M45" i="54"/>
  <c r="AT102" i="54" l="1"/>
  <c r="AU48" i="54" s="1"/>
  <c r="AU24" i="54"/>
  <c r="AJ104" i="55"/>
  <c r="J8" i="55"/>
  <c r="H24" i="54"/>
  <c r="G24" i="54"/>
  <c r="G8" i="54" s="1"/>
  <c r="K24" i="54"/>
  <c r="F24" i="54"/>
  <c r="J24" i="54"/>
  <c r="I24" i="54"/>
  <c r="I8" i="54" s="1"/>
  <c r="H98" i="54"/>
  <c r="K98" i="54"/>
  <c r="J98" i="54"/>
  <c r="I98" i="54"/>
  <c r="F98" i="54"/>
  <c r="G98" i="54"/>
  <c r="M27" i="55"/>
  <c r="M97" i="55"/>
  <c r="M93" i="55"/>
  <c r="X89" i="55"/>
  <c r="Q8" i="55"/>
  <c r="H48" i="54"/>
  <c r="F48" i="54"/>
  <c r="K48" i="54"/>
  <c r="J48" i="54"/>
  <c r="G48" i="54"/>
  <c r="I48" i="54"/>
  <c r="AS99" i="55"/>
  <c r="AT98" i="55" s="1"/>
  <c r="M32" i="55"/>
  <c r="M95" i="55"/>
  <c r="M41" i="55"/>
  <c r="AE29" i="55"/>
  <c r="AP83" i="55"/>
  <c r="AP72" i="55"/>
  <c r="AE81" i="55"/>
  <c r="AP13" i="55"/>
  <c r="AP52" i="55"/>
  <c r="AE59" i="55"/>
  <c r="AE80" i="55"/>
  <c r="AE88" i="55"/>
  <c r="AP61" i="55"/>
  <c r="AP64" i="55"/>
  <c r="AE71" i="55"/>
  <c r="AE55" i="55"/>
  <c r="AP33" i="55"/>
  <c r="AP27" i="55"/>
  <c r="AP77" i="55"/>
  <c r="AE11" i="55"/>
  <c r="AP57" i="55"/>
  <c r="AP56" i="55"/>
  <c r="AP34" i="55"/>
  <c r="AP48" i="55"/>
  <c r="AE47" i="55"/>
  <c r="AP53" i="55"/>
  <c r="AP62" i="55"/>
  <c r="AE39" i="55"/>
  <c r="AP44" i="55"/>
  <c r="AP55" i="55"/>
  <c r="AP30" i="55"/>
  <c r="AE53" i="55"/>
  <c r="AP43" i="55"/>
  <c r="AP26" i="55"/>
  <c r="AE28" i="55"/>
  <c r="AE36" i="55"/>
  <c r="AP95" i="55"/>
  <c r="AP94" i="55"/>
  <c r="AP60" i="55"/>
  <c r="AP35" i="55"/>
  <c r="AE82" i="55"/>
  <c r="AE83" i="55"/>
  <c r="AP51" i="55"/>
  <c r="AP69" i="55"/>
  <c r="AP47" i="55"/>
  <c r="AP45" i="55"/>
  <c r="AE17" i="55"/>
  <c r="AP71" i="55"/>
  <c r="AE76" i="55"/>
  <c r="AP58" i="55"/>
  <c r="AP19" i="55"/>
  <c r="AP9" i="55"/>
  <c r="AP25" i="55"/>
  <c r="AP32" i="55"/>
  <c r="AP42" i="55"/>
  <c r="AP36" i="55"/>
  <c r="AE75" i="55"/>
  <c r="AP82" i="55"/>
  <c r="AE72" i="55"/>
  <c r="AE40" i="55"/>
  <c r="AE25" i="55"/>
  <c r="AP88" i="55"/>
  <c r="AE14" i="55"/>
  <c r="AE65" i="55"/>
  <c r="AP14" i="55"/>
  <c r="AE73" i="55"/>
  <c r="AE16" i="55"/>
  <c r="AP63" i="55"/>
  <c r="AP66" i="55"/>
  <c r="AP84" i="55"/>
  <c r="AE70" i="55"/>
  <c r="AP17" i="55"/>
  <c r="AE10" i="55"/>
  <c r="AP78" i="55"/>
  <c r="AP81" i="55"/>
  <c r="AE63" i="55"/>
  <c r="AP65" i="55"/>
  <c r="AP93" i="55"/>
  <c r="AE77" i="55"/>
  <c r="AP39" i="55"/>
  <c r="AE79" i="55"/>
  <c r="AE42" i="55"/>
  <c r="AE21" i="55"/>
  <c r="AE74" i="55"/>
  <c r="AE19" i="55"/>
  <c r="AE20" i="55"/>
  <c r="AE69" i="55"/>
  <c r="AP22" i="55"/>
  <c r="AE68" i="55"/>
  <c r="AP54" i="55"/>
  <c r="AP29" i="55"/>
  <c r="AP37" i="55"/>
  <c r="AP96" i="55"/>
  <c r="AE61" i="55"/>
  <c r="AP79" i="55"/>
  <c r="AE62" i="55"/>
  <c r="AE86" i="55"/>
  <c r="AP80" i="55"/>
  <c r="AP28" i="55"/>
  <c r="AE37" i="55"/>
  <c r="AE58" i="55"/>
  <c r="AP46" i="55"/>
  <c r="AP74" i="55"/>
  <c r="AP67" i="55"/>
  <c r="AP97" i="55"/>
  <c r="AP98" i="55"/>
  <c r="AP20" i="55"/>
  <c r="AP75" i="55"/>
  <c r="AP41" i="55"/>
  <c r="AE60" i="55"/>
  <c r="AP85" i="55"/>
  <c r="AP91" i="55"/>
  <c r="AE38" i="55"/>
  <c r="AP50" i="55"/>
  <c r="AP68" i="55"/>
  <c r="AP24" i="55"/>
  <c r="AP21" i="55"/>
  <c r="AP90" i="55"/>
  <c r="AP86" i="55"/>
  <c r="AE57" i="55"/>
  <c r="AP59" i="55"/>
  <c r="AE52" i="55"/>
  <c r="AE56" i="55"/>
  <c r="AE66" i="55"/>
  <c r="AP23" i="55"/>
  <c r="AE85" i="55"/>
  <c r="AP92" i="55"/>
  <c r="AE84" i="55"/>
  <c r="AE43" i="55"/>
  <c r="AE64" i="55"/>
  <c r="AP12" i="55"/>
  <c r="AE23" i="55"/>
  <c r="AE35" i="55"/>
  <c r="AE18" i="55"/>
  <c r="AP70" i="55"/>
  <c r="AE44" i="55"/>
  <c r="AE34" i="55"/>
  <c r="AP73" i="55"/>
  <c r="AE15" i="55"/>
  <c r="AP76" i="55"/>
  <c r="AP15" i="55"/>
  <c r="AP87" i="55"/>
  <c r="AE54" i="55"/>
  <c r="AP38" i="55"/>
  <c r="AP11" i="55"/>
  <c r="AP16" i="55"/>
  <c r="AP18" i="55"/>
  <c r="AE87" i="55"/>
  <c r="AE78" i="55"/>
  <c r="AP10" i="55"/>
  <c r="AP49" i="55"/>
  <c r="AE67" i="55"/>
  <c r="AP40" i="55"/>
  <c r="AE91" i="55"/>
  <c r="AE96" i="55"/>
  <c r="AE12" i="55"/>
  <c r="AE50" i="55"/>
  <c r="AE41" i="55"/>
  <c r="AE30" i="55"/>
  <c r="AE27" i="55"/>
  <c r="AE26" i="55"/>
  <c r="AE94" i="55"/>
  <c r="AE32" i="55"/>
  <c r="AE45" i="55"/>
  <c r="AE22" i="55"/>
  <c r="AE49" i="55"/>
  <c r="AE92" i="55"/>
  <c r="AE13" i="55"/>
  <c r="AE90" i="55"/>
  <c r="AE48" i="55"/>
  <c r="AE9" i="55"/>
  <c r="AE97" i="55"/>
  <c r="AE46" i="55"/>
  <c r="AE51" i="55"/>
  <c r="AE95" i="55"/>
  <c r="AE24" i="55"/>
  <c r="AE93" i="55"/>
  <c r="AE33" i="55"/>
  <c r="X44" i="55"/>
  <c r="G8" i="55"/>
  <c r="Q24" i="54"/>
  <c r="V24" i="54"/>
  <c r="U24" i="54"/>
  <c r="R24" i="54"/>
  <c r="S24" i="54"/>
  <c r="T24" i="54"/>
  <c r="M90" i="55"/>
  <c r="M12" i="55"/>
  <c r="R47" i="55"/>
  <c r="J47" i="55"/>
  <c r="T47" i="55"/>
  <c r="I47" i="55"/>
  <c r="K47" i="55"/>
  <c r="U47" i="55"/>
  <c r="F47" i="55"/>
  <c r="S47" i="55"/>
  <c r="V47" i="55"/>
  <c r="Q47" i="55"/>
  <c r="G47" i="55"/>
  <c r="H47" i="55"/>
  <c r="E24" i="55"/>
  <c r="F8" i="55"/>
  <c r="J48" i="55"/>
  <c r="T48" i="55"/>
  <c r="U48" i="55"/>
  <c r="F48" i="55"/>
  <c r="G48" i="55"/>
  <c r="R48" i="55"/>
  <c r="S48" i="55"/>
  <c r="Q48" i="55"/>
  <c r="I48" i="55"/>
  <c r="H48" i="55"/>
  <c r="V48" i="55"/>
  <c r="K48" i="55"/>
  <c r="AU47" i="54"/>
  <c r="AU22" i="54"/>
  <c r="M51" i="55"/>
  <c r="M9" i="55"/>
  <c r="M50" i="55"/>
  <c r="M96" i="55"/>
  <c r="I8" i="55"/>
  <c r="M30" i="55"/>
  <c r="M33" i="55"/>
  <c r="M91" i="55"/>
  <c r="M47" i="55"/>
  <c r="AT93" i="55"/>
  <c r="AT96" i="55"/>
  <c r="T98" i="55"/>
  <c r="U98" i="55"/>
  <c r="F98" i="55"/>
  <c r="I98" i="55"/>
  <c r="G98" i="55"/>
  <c r="S98" i="55"/>
  <c r="Q98" i="55"/>
  <c r="V98" i="55"/>
  <c r="H98" i="55"/>
  <c r="J98" i="55"/>
  <c r="K98" i="55"/>
  <c r="R98" i="55"/>
  <c r="K8" i="55"/>
  <c r="M94" i="55"/>
  <c r="M49" i="55"/>
  <c r="M45" i="55"/>
  <c r="AU101" i="54"/>
  <c r="H47" i="54"/>
  <c r="H44" i="54" s="1"/>
  <c r="F47" i="54"/>
  <c r="K47" i="54"/>
  <c r="K44" i="54" s="1"/>
  <c r="J47" i="54"/>
  <c r="J44" i="54" s="1"/>
  <c r="I47" i="54"/>
  <c r="I44" i="54" s="1"/>
  <c r="I99" i="54" s="1"/>
  <c r="G47" i="54"/>
  <c r="G44" i="54" s="1"/>
  <c r="G99" i="54" s="1"/>
  <c r="V48" i="54"/>
  <c r="Q48" i="54"/>
  <c r="S48" i="54"/>
  <c r="U48" i="54"/>
  <c r="T48" i="54"/>
  <c r="R48" i="54"/>
  <c r="M13" i="55"/>
  <c r="M48" i="55"/>
  <c r="M26" i="55"/>
  <c r="AQ92" i="54"/>
  <c r="AQ73" i="54"/>
  <c r="AQ45" i="54"/>
  <c r="AE16" i="54"/>
  <c r="AQ35" i="54"/>
  <c r="AE11" i="54"/>
  <c r="AQ54" i="54"/>
  <c r="AE38" i="54"/>
  <c r="AQ20" i="54"/>
  <c r="AQ30" i="54"/>
  <c r="AE10" i="54"/>
  <c r="AQ95" i="54"/>
  <c r="AQ74" i="54"/>
  <c r="AE34" i="54"/>
  <c r="AQ68" i="54"/>
  <c r="AE23" i="54"/>
  <c r="AQ67" i="54"/>
  <c r="AQ21" i="54"/>
  <c r="AQ26" i="54"/>
  <c r="AQ65" i="54"/>
  <c r="AQ57" i="54"/>
  <c r="AE43" i="54"/>
  <c r="AQ84" i="54"/>
  <c r="AQ18" i="54"/>
  <c r="AQ94" i="54"/>
  <c r="AQ101" i="54"/>
  <c r="AQ16" i="54"/>
  <c r="AQ51" i="54"/>
  <c r="AQ80" i="54"/>
  <c r="AQ44" i="54"/>
  <c r="AQ40" i="54"/>
  <c r="AE40" i="54"/>
  <c r="AQ53" i="54"/>
  <c r="AQ13" i="54"/>
  <c r="AQ71" i="54"/>
  <c r="AQ15" i="54"/>
  <c r="AQ90" i="54"/>
  <c r="AQ55" i="54"/>
  <c r="AE36" i="54"/>
  <c r="AQ29" i="54"/>
  <c r="AQ59" i="54"/>
  <c r="AQ77" i="54"/>
  <c r="AQ81" i="54"/>
  <c r="AQ70" i="54"/>
  <c r="AQ23" i="54"/>
  <c r="AE47" i="54"/>
  <c r="AQ83" i="54"/>
  <c r="AE42" i="54"/>
  <c r="AE19" i="54"/>
  <c r="AE37" i="54"/>
  <c r="AQ38" i="54"/>
  <c r="AE39" i="54"/>
  <c r="AQ36" i="54"/>
  <c r="AQ69" i="54"/>
  <c r="AQ24" i="54"/>
  <c r="AQ12" i="54"/>
  <c r="AQ46" i="54"/>
  <c r="AQ19" i="54"/>
  <c r="AQ79" i="54"/>
  <c r="AE18" i="54"/>
  <c r="AQ85" i="54"/>
  <c r="AQ50" i="54"/>
  <c r="AQ47" i="54"/>
  <c r="AQ86" i="54"/>
  <c r="AQ9" i="54"/>
  <c r="AE17" i="54"/>
  <c r="AQ96" i="54"/>
  <c r="AE15" i="54"/>
  <c r="AQ62" i="54"/>
  <c r="AQ34" i="54"/>
  <c r="AQ58" i="54"/>
  <c r="AQ28" i="54"/>
  <c r="AE25" i="54"/>
  <c r="AQ27" i="54"/>
  <c r="AQ33" i="54"/>
  <c r="AQ60" i="54"/>
  <c r="AE14" i="54"/>
  <c r="AQ22" i="54"/>
  <c r="AQ66" i="54"/>
  <c r="AQ78" i="54"/>
  <c r="AQ76" i="54"/>
  <c r="AQ93" i="54"/>
  <c r="AQ64" i="54"/>
  <c r="AQ41" i="54"/>
  <c r="AE28" i="54"/>
  <c r="AQ82" i="54"/>
  <c r="AQ37" i="54"/>
  <c r="AQ91" i="54"/>
  <c r="AQ72" i="54"/>
  <c r="AQ49" i="54"/>
  <c r="AQ97" i="54"/>
  <c r="AQ25" i="54"/>
  <c r="AQ61" i="54"/>
  <c r="AQ32" i="54"/>
  <c r="AQ87" i="54"/>
  <c r="AQ88" i="54"/>
  <c r="AE20" i="54"/>
  <c r="AE35" i="54"/>
  <c r="AQ63" i="54"/>
  <c r="AQ42" i="54"/>
  <c r="AQ14" i="54"/>
  <c r="AQ56" i="54"/>
  <c r="AQ48" i="54"/>
  <c r="AE44" i="54"/>
  <c r="AQ10" i="54"/>
  <c r="AE29" i="54"/>
  <c r="AQ11" i="54"/>
  <c r="AQ52" i="54"/>
  <c r="AQ17" i="54"/>
  <c r="AQ75" i="54"/>
  <c r="AQ43" i="54"/>
  <c r="AQ39" i="54"/>
  <c r="AE21" i="54"/>
  <c r="AE86" i="54"/>
  <c r="AE88" i="54"/>
  <c r="AE87" i="54"/>
  <c r="AE83" i="54"/>
  <c r="AE84" i="54"/>
  <c r="AE85" i="54"/>
  <c r="AE81" i="54"/>
  <c r="AE82" i="54"/>
  <c r="AE80" i="54"/>
  <c r="AE57" i="54"/>
  <c r="AE58" i="54"/>
  <c r="AE66" i="54"/>
  <c r="AE65" i="54"/>
  <c r="AE67" i="54"/>
  <c r="AE77" i="54"/>
  <c r="AE91" i="54"/>
  <c r="AE50" i="54"/>
  <c r="AE59" i="54"/>
  <c r="AE62" i="54"/>
  <c r="AE79" i="54"/>
  <c r="AE64" i="54"/>
  <c r="AE61" i="54"/>
  <c r="AE75" i="54"/>
  <c r="AE22" i="54"/>
  <c r="AE55" i="54"/>
  <c r="AE41" i="54"/>
  <c r="AE69" i="54"/>
  <c r="AE71" i="54"/>
  <c r="AE56" i="54"/>
  <c r="AE63" i="54"/>
  <c r="AE72" i="54"/>
  <c r="AE52" i="54"/>
  <c r="AE76" i="54"/>
  <c r="AE60" i="54"/>
  <c r="AE12" i="54"/>
  <c r="AE73" i="54"/>
  <c r="AE74" i="54"/>
  <c r="AE53" i="54"/>
  <c r="AE68" i="54"/>
  <c r="AE70" i="54"/>
  <c r="AE54" i="54"/>
  <c r="AE78" i="54"/>
  <c r="AE32" i="54"/>
  <c r="AE51" i="54"/>
  <c r="AE13" i="54"/>
  <c r="AE33" i="54"/>
  <c r="AE30" i="54"/>
  <c r="AE49" i="54"/>
  <c r="AE45" i="54"/>
  <c r="AE97" i="54"/>
  <c r="AE26" i="54"/>
  <c r="AE95" i="54"/>
  <c r="AE27" i="54"/>
  <c r="AE48" i="54"/>
  <c r="AE46" i="54"/>
  <c r="AE9" i="54"/>
  <c r="AE94" i="54"/>
  <c r="AE90" i="54"/>
  <c r="AE96" i="54"/>
  <c r="AE24" i="54"/>
  <c r="AE93" i="54"/>
  <c r="AE92" i="54"/>
  <c r="AT91" i="55"/>
  <c r="AT95" i="55"/>
  <c r="M44" i="54"/>
  <c r="M111" i="54" s="1"/>
  <c r="X8" i="55"/>
  <c r="X99" i="55"/>
  <c r="H8" i="55"/>
  <c r="M89" i="54"/>
  <c r="M8" i="54"/>
  <c r="M46" i="55"/>
  <c r="M43" i="55"/>
  <c r="M92" i="55"/>
  <c r="AK96" i="54"/>
  <c r="X96" i="54" s="1"/>
  <c r="AK40" i="54"/>
  <c r="X40" i="54" s="1"/>
  <c r="AK44" i="54"/>
  <c r="AK85" i="54"/>
  <c r="AK83" i="54"/>
  <c r="AK36" i="54"/>
  <c r="AK47" i="54"/>
  <c r="X47" i="54" s="1"/>
  <c r="AK37" i="54"/>
  <c r="AK50" i="54"/>
  <c r="AK9" i="54"/>
  <c r="AK31" i="54"/>
  <c r="AK12" i="54"/>
  <c r="AK39" i="54"/>
  <c r="AK33" i="54"/>
  <c r="AK82" i="54"/>
  <c r="AK45" i="54"/>
  <c r="AK94" i="54"/>
  <c r="X94" i="54" s="1"/>
  <c r="AK88" i="54"/>
  <c r="AK35" i="54"/>
  <c r="AK13" i="54"/>
  <c r="AK26" i="54"/>
  <c r="AK86" i="54"/>
  <c r="AK11" i="54"/>
  <c r="AK23" i="54"/>
  <c r="AK19" i="54"/>
  <c r="AK21" i="54"/>
  <c r="AK30" i="54"/>
  <c r="AK28" i="54"/>
  <c r="AK80" i="54"/>
  <c r="AK81" i="54"/>
  <c r="AK17" i="54"/>
  <c r="AK15" i="54"/>
  <c r="AK24" i="54"/>
  <c r="AK42" i="54"/>
  <c r="AK41" i="54"/>
  <c r="AK14" i="54"/>
  <c r="AK16" i="54"/>
  <c r="AK38" i="54"/>
  <c r="AK32" i="54"/>
  <c r="AK18" i="54"/>
  <c r="AK46" i="54"/>
  <c r="AK84" i="54"/>
  <c r="AK43" i="54"/>
  <c r="AK20" i="54"/>
  <c r="AK34" i="54"/>
  <c r="AK25" i="54"/>
  <c r="AK87" i="54"/>
  <c r="AK29" i="54"/>
  <c r="AK10" i="54"/>
  <c r="AK49" i="54"/>
  <c r="AK69" i="54"/>
  <c r="AK62" i="54"/>
  <c r="AK63" i="54"/>
  <c r="AK78" i="54"/>
  <c r="AK53" i="54"/>
  <c r="AK56" i="54"/>
  <c r="AK58" i="54"/>
  <c r="AK76" i="54"/>
  <c r="AK59" i="54"/>
  <c r="AK68" i="54"/>
  <c r="AK66" i="54"/>
  <c r="AK64" i="54"/>
  <c r="AK75" i="54"/>
  <c r="AK57" i="54"/>
  <c r="AK74" i="54"/>
  <c r="AK55" i="54"/>
  <c r="AK52" i="54"/>
  <c r="AK65" i="54"/>
  <c r="AK61" i="54"/>
  <c r="AK70" i="54"/>
  <c r="AK73" i="54"/>
  <c r="AK79" i="54"/>
  <c r="AK67" i="54"/>
  <c r="AK54" i="54"/>
  <c r="AK77" i="54"/>
  <c r="AK71" i="54"/>
  <c r="AK60" i="54"/>
  <c r="AK72" i="54"/>
  <c r="AK91" i="54"/>
  <c r="X91" i="54" s="1"/>
  <c r="AK92" i="54"/>
  <c r="X92" i="54" s="1"/>
  <c r="AK93" i="54"/>
  <c r="AK95" i="54"/>
  <c r="X95" i="54" s="1"/>
  <c r="AK48" i="54"/>
  <c r="X48" i="54" s="1"/>
  <c r="AK27" i="54"/>
  <c r="X27" i="54" s="1"/>
  <c r="AK97" i="54"/>
  <c r="X97" i="54" s="1"/>
  <c r="AK22" i="54"/>
  <c r="X22" i="54" s="1"/>
  <c r="AK51" i="54"/>
  <c r="X51" i="54" s="1"/>
  <c r="AK90" i="54"/>
  <c r="X90" i="54" s="1"/>
  <c r="AT94" i="55" l="1"/>
  <c r="AU102" i="54"/>
  <c r="AT97" i="55"/>
  <c r="V44" i="55"/>
  <c r="V99" i="55" s="1"/>
  <c r="R44" i="55"/>
  <c r="R99" i="55" s="1"/>
  <c r="E48" i="54"/>
  <c r="M99" i="54"/>
  <c r="M112" i="54" s="1"/>
  <c r="X100" i="55"/>
  <c r="X32" i="54"/>
  <c r="X8" i="54" s="1"/>
  <c r="P48" i="54"/>
  <c r="P48" i="55"/>
  <c r="F44" i="55"/>
  <c r="F100" i="55" s="1"/>
  <c r="E47" i="55"/>
  <c r="U8" i="54"/>
  <c r="E24" i="54"/>
  <c r="F8" i="54"/>
  <c r="AK102" i="54"/>
  <c r="M44" i="55"/>
  <c r="U44" i="55"/>
  <c r="U99" i="55" s="1"/>
  <c r="V8" i="54"/>
  <c r="E98" i="54"/>
  <c r="K99" i="54"/>
  <c r="K8" i="54"/>
  <c r="K100" i="54" s="1"/>
  <c r="R100" i="55"/>
  <c r="R47" i="54"/>
  <c r="R44" i="54" s="1"/>
  <c r="R99" i="54" s="1"/>
  <c r="Q47" i="54"/>
  <c r="T47" i="54"/>
  <c r="T44" i="54" s="1"/>
  <c r="S47" i="54"/>
  <c r="S44" i="54" s="1"/>
  <c r="S99" i="54" s="1"/>
  <c r="U47" i="54"/>
  <c r="U44" i="54" s="1"/>
  <c r="V47" i="54"/>
  <c r="V44" i="54" s="1"/>
  <c r="V99" i="54" s="1"/>
  <c r="K44" i="55"/>
  <c r="P24" i="54"/>
  <c r="Q8" i="54"/>
  <c r="I100" i="54"/>
  <c r="G100" i="54"/>
  <c r="X89" i="54"/>
  <c r="AE102" i="54"/>
  <c r="AQ102" i="54"/>
  <c r="K100" i="55"/>
  <c r="E98" i="55"/>
  <c r="E8" i="55"/>
  <c r="H44" i="55"/>
  <c r="H100" i="55" s="1"/>
  <c r="I44" i="55"/>
  <c r="I100" i="55" s="1"/>
  <c r="H8" i="54"/>
  <c r="H100" i="54" s="1"/>
  <c r="H99" i="54"/>
  <c r="X44" i="54"/>
  <c r="E48" i="55"/>
  <c r="G44" i="55"/>
  <c r="G100" i="55" s="1"/>
  <c r="T44" i="55"/>
  <c r="T99" i="55" s="1"/>
  <c r="M89" i="55"/>
  <c r="M100" i="54"/>
  <c r="E47" i="54"/>
  <c r="F44" i="54"/>
  <c r="F99" i="54" s="1"/>
  <c r="Q44" i="55"/>
  <c r="Q99" i="55" s="1"/>
  <c r="P47" i="55"/>
  <c r="J44" i="55"/>
  <c r="J100" i="55" s="1"/>
  <c r="T8" i="54"/>
  <c r="T100" i="54" s="1"/>
  <c r="S8" i="54"/>
  <c r="S100" i="54" s="1"/>
  <c r="AP104" i="55"/>
  <c r="AT92" i="55"/>
  <c r="AT47" i="55"/>
  <c r="AT22" i="55"/>
  <c r="AT48" i="55"/>
  <c r="AT24" i="55"/>
  <c r="S24" i="55" s="1"/>
  <c r="S98" i="54"/>
  <c r="R98" i="54"/>
  <c r="V98" i="54"/>
  <c r="T98" i="54"/>
  <c r="T99" i="54" s="1"/>
  <c r="U98" i="54"/>
  <c r="Q98" i="54"/>
  <c r="P98" i="55"/>
  <c r="S44" i="55"/>
  <c r="R8" i="54"/>
  <c r="AE104" i="55"/>
  <c r="AT90" i="55"/>
  <c r="J8" i="54"/>
  <c r="J100" i="54" s="1"/>
  <c r="J99" i="54"/>
  <c r="U99" i="54" l="1"/>
  <c r="X100" i="54"/>
  <c r="F100" i="54"/>
  <c r="R100" i="54"/>
  <c r="V100" i="55"/>
  <c r="T100" i="55"/>
  <c r="X99" i="54"/>
  <c r="U100" i="55"/>
  <c r="J103" i="55" s="1"/>
  <c r="V100" i="54"/>
  <c r="P98" i="54"/>
  <c r="S8" i="55"/>
  <c r="S100" i="55" s="1"/>
  <c r="H103" i="55" s="1"/>
  <c r="S99" i="55"/>
  <c r="P24" i="55"/>
  <c r="I99" i="55"/>
  <c r="K103" i="55"/>
  <c r="G99" i="55"/>
  <c r="AT99" i="55"/>
  <c r="H99" i="55"/>
  <c r="U100" i="54"/>
  <c r="G103" i="55"/>
  <c r="J99" i="55"/>
  <c r="P8" i="54"/>
  <c r="P47" i="54"/>
  <c r="Q44" i="54"/>
  <c r="Q99" i="54" s="1"/>
  <c r="Q100" i="55"/>
  <c r="F103" i="55" s="1"/>
  <c r="I103" i="55"/>
  <c r="P44" i="55"/>
  <c r="K99" i="55"/>
  <c r="E44" i="55"/>
  <c r="E100" i="55" s="1"/>
  <c r="E44" i="54"/>
  <c r="E8" i="54"/>
  <c r="E99" i="54"/>
  <c r="F99" i="55"/>
  <c r="Q100" i="54" l="1"/>
  <c r="E100" i="54"/>
  <c r="E99" i="55"/>
  <c r="P8" i="55"/>
  <c r="P100" i="55" s="1"/>
  <c r="P99" i="55"/>
  <c r="P44" i="54"/>
  <c r="P100" i="54"/>
  <c r="E103" i="55" l="1"/>
  <c r="P99" i="54"/>
  <c r="F41" i="70" l="1"/>
  <c r="F49" i="70"/>
  <c r="F35" i="70"/>
  <c r="F40" i="70"/>
  <c r="F48" i="70"/>
  <c r="F50" i="70"/>
  <c r="F43" i="70"/>
  <c r="F44" i="70"/>
  <c r="W88" i="26"/>
  <c r="AA88" i="26" s="1"/>
  <c r="L2" i="66" l="1"/>
  <c r="D2" i="66"/>
  <c r="R88" i="26"/>
  <c r="H22" i="26" l="1"/>
  <c r="H8" i="26" s="1"/>
  <c r="H54" i="26"/>
  <c r="H55" i="26"/>
  <c r="H56" i="26"/>
  <c r="H57" i="26"/>
  <c r="H59" i="26"/>
  <c r="J59" i="26" s="1"/>
  <c r="I59" i="26" s="1"/>
  <c r="H61" i="26"/>
  <c r="J61" i="26" s="1"/>
  <c r="I61" i="26" s="1"/>
  <c r="H68" i="26"/>
  <c r="H73" i="26"/>
  <c r="J73" i="26" s="1"/>
  <c r="I73" i="26" s="1"/>
  <c r="H75" i="26"/>
  <c r="J75" i="26" s="1"/>
  <c r="I75" i="26" s="1"/>
  <c r="H76" i="26"/>
  <c r="H77" i="26"/>
  <c r="H80" i="26"/>
  <c r="H81" i="26"/>
  <c r="H87" i="26"/>
  <c r="I87" i="26" s="1"/>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5" i="26"/>
  <c r="C46" i="26"/>
  <c r="C47" i="26"/>
  <c r="C48" i="26"/>
  <c r="C49" i="26"/>
  <c r="C50" i="26"/>
  <c r="C51" i="26"/>
  <c r="C53" i="26"/>
  <c r="C54" i="26"/>
  <c r="C55" i="26"/>
  <c r="C57" i="26"/>
  <c r="C58" i="26"/>
  <c r="C59" i="26"/>
  <c r="C60" i="26"/>
  <c r="C61" i="26"/>
  <c r="C62" i="26"/>
  <c r="C63" i="26"/>
  <c r="C64" i="26"/>
  <c r="C65" i="26"/>
  <c r="C66" i="26"/>
  <c r="C67" i="26"/>
  <c r="C68" i="26"/>
  <c r="C69" i="26"/>
  <c r="C71" i="26"/>
  <c r="C72" i="26"/>
  <c r="C73" i="26"/>
  <c r="C74" i="26"/>
  <c r="C75" i="26"/>
  <c r="C76" i="26"/>
  <c r="C77" i="26"/>
  <c r="C78" i="26"/>
  <c r="C79" i="26"/>
  <c r="C80" i="26"/>
  <c r="C81" i="26"/>
  <c r="C82" i="26"/>
  <c r="C83" i="26"/>
  <c r="C84" i="26"/>
  <c r="C85" i="26"/>
  <c r="C86" i="26"/>
  <c r="C87" i="26"/>
  <c r="C88" i="26"/>
  <c r="C56" i="26"/>
  <c r="C70" i="26"/>
  <c r="Q57" i="26" l="1"/>
  <c r="Q26" i="26"/>
  <c r="N26" i="26" s="1"/>
  <c r="Q48" i="26"/>
  <c r="N48" i="26" s="1"/>
  <c r="Q65" i="26"/>
  <c r="Q68" i="26"/>
  <c r="Q74" i="26"/>
  <c r="Q18" i="26"/>
  <c r="N18" i="26" s="1"/>
  <c r="Q61" i="26"/>
  <c r="Q32" i="26"/>
  <c r="N32" i="26" s="1"/>
  <c r="Q46" i="26"/>
  <c r="N46" i="26" s="1"/>
  <c r="Q50" i="26"/>
  <c r="N50" i="26" s="1"/>
  <c r="Q45" i="26"/>
  <c r="Q29" i="26"/>
  <c r="N29" i="26" s="1"/>
  <c r="Q86" i="26"/>
  <c r="Q23" i="26"/>
  <c r="N23" i="26" s="1"/>
  <c r="Q22" i="26"/>
  <c r="Q79" i="26"/>
  <c r="Q33" i="26"/>
  <c r="N33" i="26" s="1"/>
  <c r="Q9" i="26"/>
  <c r="Q82" i="26"/>
  <c r="N82" i="26" s="1"/>
  <c r="Q80" i="26"/>
  <c r="Q85" i="26"/>
  <c r="Q84" i="26"/>
  <c r="Q39" i="26"/>
  <c r="N39" i="26" s="1"/>
  <c r="Q77" i="26"/>
  <c r="Q25" i="26"/>
  <c r="N25" i="26" s="1"/>
  <c r="Q12" i="26"/>
  <c r="N12" i="26" s="1"/>
  <c r="Q20" i="26"/>
  <c r="N20" i="26" s="1"/>
  <c r="Q49" i="26"/>
  <c r="N49" i="26" s="1"/>
  <c r="Q89" i="26"/>
  <c r="Q60" i="26"/>
  <c r="Q30" i="26"/>
  <c r="N30" i="26" s="1"/>
  <c r="Q43" i="26"/>
  <c r="N43" i="26" s="1"/>
  <c r="Q13" i="26"/>
  <c r="N13" i="26" s="1"/>
  <c r="Q58" i="26"/>
  <c r="Q27" i="26"/>
  <c r="N27" i="26" s="1"/>
  <c r="Q83" i="26"/>
  <c r="Q66" i="26"/>
  <c r="Q73" i="26"/>
  <c r="Q55" i="26"/>
  <c r="Q81" i="26"/>
  <c r="Q35" i="26"/>
  <c r="N35" i="26" s="1"/>
  <c r="Q78" i="26"/>
  <c r="Q40" i="26"/>
  <c r="N40" i="26" s="1"/>
  <c r="Q47" i="26"/>
  <c r="Q28" i="26"/>
  <c r="N28" i="26" s="1"/>
  <c r="Q76" i="26"/>
  <c r="Q53" i="26"/>
  <c r="Q56" i="26"/>
  <c r="Q14" i="26"/>
  <c r="N14" i="26" s="1"/>
  <c r="Q69" i="26"/>
  <c r="Q62" i="26"/>
  <c r="Q59" i="26"/>
  <c r="Q34" i="26"/>
  <c r="N34" i="26" s="1"/>
  <c r="Q37" i="26"/>
  <c r="N37" i="26" s="1"/>
  <c r="Q51" i="26"/>
  <c r="N51" i="26" s="1"/>
  <c r="Q21" i="26"/>
  <c r="N21" i="26" s="1"/>
  <c r="Q75" i="26"/>
  <c r="Q64" i="26"/>
  <c r="Q24" i="26"/>
  <c r="N24" i="26" s="1"/>
  <c r="Q88" i="26"/>
  <c r="N88" i="26" s="1"/>
  <c r="Q71" i="26"/>
  <c r="Q87" i="26"/>
  <c r="Q16" i="26"/>
  <c r="N16" i="26" s="1"/>
  <c r="Q70" i="26"/>
  <c r="Q54" i="26"/>
  <c r="Q17" i="26"/>
  <c r="N17" i="26" s="1"/>
  <c r="Q63" i="26"/>
  <c r="Q42" i="26"/>
  <c r="N42" i="26" s="1"/>
  <c r="Q72" i="26"/>
  <c r="Q38" i="26"/>
  <c r="N38" i="26" s="1"/>
  <c r="Q41" i="26"/>
  <c r="N41" i="26" s="1"/>
  <c r="Q36" i="26"/>
  <c r="N36" i="26" s="1"/>
  <c r="Q31" i="26"/>
  <c r="N31" i="26" s="1"/>
  <c r="Q52" i="26"/>
  <c r="Q19" i="26"/>
  <c r="N19" i="26" s="1"/>
  <c r="Q15" i="26"/>
  <c r="N15" i="26" s="1"/>
  <c r="Q11" i="26"/>
  <c r="N11" i="26" s="1"/>
  <c r="Q10" i="26"/>
  <c r="N10" i="26" s="1"/>
  <c r="Q67" i="26"/>
  <c r="C8" i="26"/>
  <c r="C44" i="26"/>
  <c r="C52" i="26"/>
  <c r="H60" i="26"/>
  <c r="C89" i="26"/>
  <c r="D47" i="26"/>
  <c r="H66" i="26"/>
  <c r="H58" i="26"/>
  <c r="J58" i="26" s="1"/>
  <c r="I58" i="26" s="1"/>
  <c r="J36" i="26"/>
  <c r="I36" i="26" s="1"/>
  <c r="AB14" i="26" l="1"/>
  <c r="V14" i="26"/>
  <c r="W14" i="26"/>
  <c r="AA14" i="26" s="1"/>
  <c r="V35" i="26"/>
  <c r="W35" i="26"/>
  <c r="AA35" i="26" s="1"/>
  <c r="AB35" i="26"/>
  <c r="AB13" i="26"/>
  <c r="V13" i="26"/>
  <c r="W13" i="26"/>
  <c r="AA13" i="26" s="1"/>
  <c r="W25" i="26"/>
  <c r="AA25" i="26" s="1"/>
  <c r="AB25" i="26"/>
  <c r="V25" i="26"/>
  <c r="W33" i="26"/>
  <c r="AA33" i="26" s="1"/>
  <c r="V33" i="26"/>
  <c r="AB33" i="26"/>
  <c r="W46" i="26"/>
  <c r="AA46" i="26" s="1"/>
  <c r="AB46" i="26"/>
  <c r="V46" i="26"/>
  <c r="W26" i="26"/>
  <c r="AA26" i="26" s="1"/>
  <c r="V26" i="26"/>
  <c r="AB26" i="26"/>
  <c r="V21" i="26"/>
  <c r="W21" i="26"/>
  <c r="AA21" i="26" s="1"/>
  <c r="AB21" i="26"/>
  <c r="V43" i="26"/>
  <c r="W43" i="26"/>
  <c r="AA43" i="26" s="1"/>
  <c r="AB43" i="26"/>
  <c r="AB32" i="26"/>
  <c r="W32" i="26"/>
  <c r="AA32" i="26" s="1"/>
  <c r="V32" i="26"/>
  <c r="AB16" i="26"/>
  <c r="V16" i="26"/>
  <c r="W16" i="26"/>
  <c r="AA16" i="26" s="1"/>
  <c r="V51" i="26"/>
  <c r="W51" i="26"/>
  <c r="AA51" i="26" s="1"/>
  <c r="AB51" i="26"/>
  <c r="AB30" i="26"/>
  <c r="W30" i="26"/>
  <c r="AA30" i="26" s="1"/>
  <c r="V30" i="26"/>
  <c r="V39" i="26"/>
  <c r="AB39" i="26"/>
  <c r="W39" i="26"/>
  <c r="AA39" i="26" s="1"/>
  <c r="H52" i="26"/>
  <c r="AB36" i="26"/>
  <c r="W36" i="26"/>
  <c r="AA36" i="26" s="1"/>
  <c r="V36" i="26"/>
  <c r="V37" i="26"/>
  <c r="W37" i="26"/>
  <c r="AA37" i="26" s="1"/>
  <c r="AB37" i="26"/>
  <c r="AB23" i="26"/>
  <c r="V23" i="26"/>
  <c r="W23" i="26"/>
  <c r="AA23" i="26" s="1"/>
  <c r="W18" i="26"/>
  <c r="AA18" i="26" s="1"/>
  <c r="AB18" i="26"/>
  <c r="V18" i="26"/>
  <c r="W41" i="26"/>
  <c r="AA41" i="26" s="1"/>
  <c r="V41" i="26"/>
  <c r="AB41" i="26"/>
  <c r="L89" i="26"/>
  <c r="C90" i="26"/>
  <c r="H89" i="26"/>
  <c r="H90" i="26" s="1"/>
  <c r="V10" i="26"/>
  <c r="W10" i="26"/>
  <c r="AA10" i="26" s="1"/>
  <c r="AB10" i="26"/>
  <c r="AD10" i="26" s="1"/>
  <c r="W38" i="26"/>
  <c r="AA38" i="26" s="1"/>
  <c r="AB38" i="26"/>
  <c r="V38" i="26"/>
  <c r="AB11" i="26"/>
  <c r="W11" i="26"/>
  <c r="AA11" i="26" s="1"/>
  <c r="V11" i="26"/>
  <c r="V34" i="26"/>
  <c r="AB34" i="26"/>
  <c r="W34" i="26"/>
  <c r="AA34" i="26" s="1"/>
  <c r="V28" i="26"/>
  <c r="W28" i="26"/>
  <c r="AA28" i="26" s="1"/>
  <c r="AB28" i="26"/>
  <c r="AB88" i="26"/>
  <c r="W49" i="26"/>
  <c r="AA49" i="26" s="1"/>
  <c r="AB49" i="26"/>
  <c r="V49" i="26"/>
  <c r="V29" i="26"/>
  <c r="AB29" i="26"/>
  <c r="W29" i="26"/>
  <c r="AA29" i="26" s="1"/>
  <c r="V31" i="26"/>
  <c r="AB31" i="26"/>
  <c r="W31" i="26"/>
  <c r="AA31" i="26" s="1"/>
  <c r="C49" i="60"/>
  <c r="C46" i="60" s="1"/>
  <c r="E47" i="26"/>
  <c r="G47" i="26" s="1"/>
  <c r="S47" i="26" s="1"/>
  <c r="N47" i="26" s="1"/>
  <c r="X47" i="26"/>
  <c r="D44" i="26"/>
  <c r="AB15" i="26"/>
  <c r="W15" i="26"/>
  <c r="AA15" i="26" s="1"/>
  <c r="V15" i="26"/>
  <c r="W42" i="26"/>
  <c r="AA42" i="26" s="1"/>
  <c r="V42" i="26"/>
  <c r="AB42" i="26"/>
  <c r="W19" i="26"/>
  <c r="AA19" i="26" s="1"/>
  <c r="V19" i="26"/>
  <c r="AB19" i="26"/>
  <c r="V24" i="26"/>
  <c r="W24" i="26"/>
  <c r="AA24" i="26" s="1"/>
  <c r="AB24" i="26"/>
  <c r="V40" i="26"/>
  <c r="W40" i="26"/>
  <c r="AA40" i="26" s="1"/>
  <c r="AB40" i="26"/>
  <c r="V27" i="26"/>
  <c r="AB27" i="26"/>
  <c r="W27" i="26"/>
  <c r="AA27" i="26" s="1"/>
  <c r="W20" i="26"/>
  <c r="AA20" i="26" s="1"/>
  <c r="AB20" i="26"/>
  <c r="V20" i="26"/>
  <c r="AB82" i="26"/>
  <c r="Q44" i="26"/>
  <c r="N45" i="26"/>
  <c r="W17" i="26"/>
  <c r="AA17" i="26" s="1"/>
  <c r="V17" i="26"/>
  <c r="AB17" i="26"/>
  <c r="W12" i="26"/>
  <c r="AA12" i="26" s="1"/>
  <c r="V12" i="26"/>
  <c r="AB12" i="26"/>
  <c r="N9" i="26"/>
  <c r="Q8" i="26"/>
  <c r="AB50" i="26"/>
  <c r="W50" i="26"/>
  <c r="AA50" i="26" s="1"/>
  <c r="V50" i="26"/>
  <c r="V48" i="26"/>
  <c r="W48" i="26"/>
  <c r="AA48" i="26" s="1"/>
  <c r="AB48" i="26"/>
  <c r="AD48" i="26" s="1"/>
  <c r="AF34" i="26"/>
  <c r="J22" i="26"/>
  <c r="I22" i="26" s="1"/>
  <c r="AF19" i="26"/>
  <c r="AD12" i="26" l="1"/>
  <c r="AD28" i="26"/>
  <c r="AD20" i="26"/>
  <c r="Q90" i="26"/>
  <c r="AD21" i="26"/>
  <c r="AD13" i="26"/>
  <c r="AD17" i="26"/>
  <c r="AD36" i="26"/>
  <c r="AD34" i="26"/>
  <c r="AD39" i="26"/>
  <c r="AD49" i="26"/>
  <c r="AD16" i="26"/>
  <c r="AD35" i="26"/>
  <c r="AD51" i="26"/>
  <c r="AD50" i="26"/>
  <c r="AD27" i="26"/>
  <c r="AD41" i="26"/>
  <c r="AD46" i="26"/>
  <c r="W47" i="26"/>
  <c r="V47" i="26"/>
  <c r="H16" i="66"/>
  <c r="M17" i="66"/>
  <c r="AD19" i="26"/>
  <c r="D15" i="66"/>
  <c r="L14" i="66"/>
  <c r="H5" i="66"/>
  <c r="M6" i="66"/>
  <c r="AD40" i="26"/>
  <c r="G63" i="63" s="1"/>
  <c r="H63" i="63" s="1"/>
  <c r="AF20" i="26"/>
  <c r="L6" i="66"/>
  <c r="D5" i="66"/>
  <c r="M7" i="66"/>
  <c r="AD31" i="26"/>
  <c r="G57" i="63" s="1"/>
  <c r="H57" i="63" s="1"/>
  <c r="H8" i="66"/>
  <c r="L9" i="66"/>
  <c r="D9" i="66"/>
  <c r="L4" i="66"/>
  <c r="D3" i="66"/>
  <c r="H17" i="66"/>
  <c r="AD25" i="26"/>
  <c r="M16" i="66"/>
  <c r="W9" i="26"/>
  <c r="V9" i="26"/>
  <c r="D16" i="66"/>
  <c r="L17" i="66"/>
  <c r="AD15" i="26"/>
  <c r="H9" i="66"/>
  <c r="AD11" i="26"/>
  <c r="M9" i="66"/>
  <c r="AD32" i="26"/>
  <c r="D17" i="66"/>
  <c r="L16" i="66"/>
  <c r="AB45" i="26"/>
  <c r="V45" i="26"/>
  <c r="W45" i="26"/>
  <c r="AA45" i="26" s="1"/>
  <c r="N44" i="26"/>
  <c r="E44" i="26"/>
  <c r="G44" i="26" s="1"/>
  <c r="X44" i="26"/>
  <c r="D89" i="26"/>
  <c r="H3" i="66"/>
  <c r="M4" i="66"/>
  <c r="AD23" i="26"/>
  <c r="G54" i="63" s="1"/>
  <c r="H54" i="63" s="1"/>
  <c r="AD24" i="26"/>
  <c r="H12" i="66"/>
  <c r="AD42" i="26"/>
  <c r="M11" i="66"/>
  <c r="L3" i="66"/>
  <c r="D4" i="66"/>
  <c r="M10" i="66"/>
  <c r="H10" i="66"/>
  <c r="AD43" i="26"/>
  <c r="H14" i="66"/>
  <c r="AD26" i="26"/>
  <c r="M15" i="66"/>
  <c r="AD33" i="26"/>
  <c r="S44" i="26"/>
  <c r="O47" i="26"/>
  <c r="M3" i="66"/>
  <c r="AD29" i="26"/>
  <c r="G55" i="63" s="1"/>
  <c r="H55" i="63" s="1"/>
  <c r="H4" i="66"/>
  <c r="AD88" i="26"/>
  <c r="G61" i="63" s="1"/>
  <c r="H61" i="63" s="1"/>
  <c r="H2" i="66"/>
  <c r="M2" i="66"/>
  <c r="H13" i="66"/>
  <c r="M13" i="66"/>
  <c r="AD38" i="26"/>
  <c r="AD37" i="26"/>
  <c r="AD30" i="26"/>
  <c r="L10" i="66"/>
  <c r="D10" i="66"/>
  <c r="D8" i="66"/>
  <c r="L7" i="66"/>
  <c r="AD82" i="26"/>
  <c r="G60" i="63" s="1"/>
  <c r="H60" i="63" s="1"/>
  <c r="H6" i="66"/>
  <c r="M5" i="66"/>
  <c r="L11" i="66"/>
  <c r="D12" i="66"/>
  <c r="L13" i="66"/>
  <c r="D13" i="66"/>
  <c r="K89" i="26"/>
  <c r="Y89" i="26"/>
  <c r="H15" i="66"/>
  <c r="M14" i="66"/>
  <c r="AD18" i="26"/>
  <c r="D14" i="66"/>
  <c r="L15" i="66"/>
  <c r="AD14" i="26"/>
  <c r="AF23" i="26"/>
  <c r="AF25" i="26"/>
  <c r="AF31" i="26"/>
  <c r="AF40" i="26"/>
  <c r="AF9" i="26"/>
  <c r="AF37" i="26"/>
  <c r="AF32" i="26"/>
  <c r="AF12" i="26"/>
  <c r="AF30" i="26"/>
  <c r="AF33" i="26"/>
  <c r="AF36" i="26"/>
  <c r="AF43" i="26"/>
  <c r="W44" i="26" l="1"/>
  <c r="G53" i="63"/>
  <c r="H53" i="63" s="1"/>
  <c r="AD8" i="26"/>
  <c r="AD45" i="26"/>
  <c r="V44" i="26"/>
  <c r="Z89" i="26"/>
  <c r="C93" i="59"/>
  <c r="O44" i="26"/>
  <c r="J47" i="26"/>
  <c r="E89" i="26"/>
  <c r="G89" i="26" s="1"/>
  <c r="S89" i="26" s="1"/>
  <c r="C100" i="60"/>
  <c r="C102" i="60" s="1"/>
  <c r="X89" i="26"/>
  <c r="N57" i="63"/>
  <c r="N61" i="63"/>
  <c r="N60" i="63"/>
  <c r="N53" i="63"/>
  <c r="N63" i="63"/>
  <c r="N55" i="63"/>
  <c r="L55" i="26"/>
  <c r="AF35" i="26"/>
  <c r="AF38" i="26"/>
  <c r="L64" i="26"/>
  <c r="AF14" i="26"/>
  <c r="L71" i="26"/>
  <c r="AF18" i="26"/>
  <c r="AF16" i="26"/>
  <c r="L62" i="26"/>
  <c r="J9" i="26"/>
  <c r="AF41" i="26"/>
  <c r="I9" i="26" l="1"/>
  <c r="AB9" i="26"/>
  <c r="K64" i="26"/>
  <c r="Z64" i="26" s="1"/>
  <c r="Y64" i="26"/>
  <c r="V64" i="26"/>
  <c r="W64" i="26" s="1"/>
  <c r="AA64" i="26" s="1"/>
  <c r="D64" i="26"/>
  <c r="X64" i="26" s="1"/>
  <c r="E55" i="26"/>
  <c r="G55" i="26" s="1"/>
  <c r="S55" i="26" s="1"/>
  <c r="O55" i="26" s="1"/>
  <c r="J55" i="26" s="1"/>
  <c r="I55" i="26" s="1"/>
  <c r="K55" i="26"/>
  <c r="Y55" i="26"/>
  <c r="E52" i="70"/>
  <c r="O53" i="63"/>
  <c r="F52" i="70" s="1"/>
  <c r="D62" i="26"/>
  <c r="Y62" i="26"/>
  <c r="K62" i="26"/>
  <c r="Z62" i="26" s="1"/>
  <c r="E59" i="70"/>
  <c r="O60" i="63"/>
  <c r="F59" i="70" s="1"/>
  <c r="O89" i="26"/>
  <c r="N89" i="26"/>
  <c r="O61" i="63"/>
  <c r="F60" i="70" s="1"/>
  <c r="E60" i="70"/>
  <c r="J44" i="26"/>
  <c r="AB44" i="26" s="1"/>
  <c r="I47" i="26"/>
  <c r="AB47" i="26"/>
  <c r="O57" i="63"/>
  <c r="F56" i="70" s="1"/>
  <c r="E56" i="70"/>
  <c r="V71" i="26"/>
  <c r="W71" i="26" s="1"/>
  <c r="AA71" i="26" s="1"/>
  <c r="D71" i="26"/>
  <c r="Y71" i="26"/>
  <c r="K71" i="26"/>
  <c r="Z71" i="26" s="1"/>
  <c r="O55" i="63"/>
  <c r="F54" i="70" s="1"/>
  <c r="E54" i="70"/>
  <c r="O63" i="63"/>
  <c r="F62" i="70" s="1"/>
  <c r="E62" i="70"/>
  <c r="AF29" i="26"/>
  <c r="AF39" i="26"/>
  <c r="L66" i="26"/>
  <c r="AF10" i="26"/>
  <c r="AF27" i="26"/>
  <c r="AF28" i="26"/>
  <c r="AF15" i="26"/>
  <c r="L77" i="26"/>
  <c r="L69" i="26"/>
  <c r="L65" i="26"/>
  <c r="L67" i="26"/>
  <c r="L70" i="26"/>
  <c r="L57" i="26"/>
  <c r="AF42" i="26"/>
  <c r="L86" i="26"/>
  <c r="L83" i="26"/>
  <c r="L81" i="26"/>
  <c r="L59" i="26"/>
  <c r="L53" i="26"/>
  <c r="AF26" i="26"/>
  <c r="L78" i="26"/>
  <c r="L72" i="26"/>
  <c r="L73" i="26"/>
  <c r="L60" i="26"/>
  <c r="L63" i="26"/>
  <c r="AF21" i="26"/>
  <c r="L80" i="26"/>
  <c r="L74" i="26"/>
  <c r="L61" i="26"/>
  <c r="L84" i="26"/>
  <c r="L87" i="26"/>
  <c r="L75" i="26"/>
  <c r="L79" i="26"/>
  <c r="L85" i="26"/>
  <c r="L56" i="26"/>
  <c r="L76" i="26"/>
  <c r="L68" i="26"/>
  <c r="AF17" i="26"/>
  <c r="L8" i="66" l="1"/>
  <c r="D7" i="66"/>
  <c r="J89" i="26"/>
  <c r="AB89" i="26" s="1"/>
  <c r="V89" i="26"/>
  <c r="W89" i="26" s="1"/>
  <c r="K56" i="26"/>
  <c r="E56" i="26"/>
  <c r="G56" i="26" s="1"/>
  <c r="S56" i="26" s="1"/>
  <c r="O56" i="26" s="1"/>
  <c r="J56" i="26" s="1"/>
  <c r="I56" i="26" s="1"/>
  <c r="Y56" i="26"/>
  <c r="K63" i="26"/>
  <c r="Z63" i="26" s="1"/>
  <c r="V63" i="26"/>
  <c r="W63" i="26" s="1"/>
  <c r="AA63" i="26" s="1"/>
  <c r="Y63" i="26"/>
  <c r="D63" i="26"/>
  <c r="R63" i="26"/>
  <c r="N63" i="26" s="1"/>
  <c r="D53" i="26"/>
  <c r="K53" i="26"/>
  <c r="Y53" i="26"/>
  <c r="K83" i="26"/>
  <c r="Y83" i="26"/>
  <c r="E83" i="26"/>
  <c r="G83" i="26" s="1"/>
  <c r="S83" i="26" s="1"/>
  <c r="O83" i="26" s="1"/>
  <c r="J83" i="26" s="1"/>
  <c r="I83" i="26" s="1"/>
  <c r="Y69" i="26"/>
  <c r="D69" i="26"/>
  <c r="V69" i="26"/>
  <c r="W69" i="26" s="1"/>
  <c r="AA69" i="26" s="1"/>
  <c r="K69" i="26"/>
  <c r="Z69" i="26" s="1"/>
  <c r="E62" i="26"/>
  <c r="G62" i="26" s="1"/>
  <c r="S62" i="26" s="1"/>
  <c r="X62" i="26"/>
  <c r="R64" i="26"/>
  <c r="N64" i="26" s="1"/>
  <c r="E80" i="26"/>
  <c r="G80" i="26" s="1"/>
  <c r="S80" i="26" s="1"/>
  <c r="O80" i="26" s="1"/>
  <c r="J80" i="26" s="1"/>
  <c r="I80" i="26" s="1"/>
  <c r="W80" i="26" s="1"/>
  <c r="AA80" i="26" s="1"/>
  <c r="K80" i="26"/>
  <c r="Y80" i="26"/>
  <c r="V80" i="26"/>
  <c r="D78" i="26"/>
  <c r="X78" i="26" s="1"/>
  <c r="Y78" i="26"/>
  <c r="V78" i="26"/>
  <c r="W78" i="26" s="1"/>
  <c r="AA78" i="26" s="1"/>
  <c r="K78" i="26"/>
  <c r="Z78" i="26" s="1"/>
  <c r="K87" i="26"/>
  <c r="Z87" i="26" s="1"/>
  <c r="V87" i="26"/>
  <c r="W87" i="26" s="1"/>
  <c r="AA87" i="26" s="1"/>
  <c r="D87" i="26"/>
  <c r="Y87" i="26"/>
  <c r="R87" i="26"/>
  <c r="N87" i="26" s="1"/>
  <c r="Y84" i="26"/>
  <c r="K84" i="26"/>
  <c r="E84" i="26"/>
  <c r="G84" i="26" s="1"/>
  <c r="S84" i="26" s="1"/>
  <c r="O84" i="26" s="1"/>
  <c r="J84" i="26" s="1"/>
  <c r="I84" i="26" s="1"/>
  <c r="Y81" i="26"/>
  <c r="K81" i="26"/>
  <c r="E81" i="26"/>
  <c r="G81" i="26" s="1"/>
  <c r="S81" i="26" s="1"/>
  <c r="O81" i="26" s="1"/>
  <c r="J81" i="26" s="1"/>
  <c r="I81" i="26" s="1"/>
  <c r="K70" i="26"/>
  <c r="Z70" i="26" s="1"/>
  <c r="V70" i="26"/>
  <c r="W70" i="26" s="1"/>
  <c r="AA70" i="26" s="1"/>
  <c r="D70" i="26"/>
  <c r="Y70" i="26"/>
  <c r="R70" i="26"/>
  <c r="N70" i="26" s="1"/>
  <c r="K61" i="26"/>
  <c r="Z61" i="26" s="1"/>
  <c r="D61" i="26"/>
  <c r="V61" i="26"/>
  <c r="W61" i="26" s="1"/>
  <c r="AA61" i="26" s="1"/>
  <c r="Y61" i="26"/>
  <c r="K76" i="26"/>
  <c r="Y76" i="26"/>
  <c r="E76" i="26"/>
  <c r="G76" i="26" s="1"/>
  <c r="S76" i="26" s="1"/>
  <c r="O76" i="26" s="1"/>
  <c r="J76" i="26" s="1"/>
  <c r="I76" i="26" s="1"/>
  <c r="Y85" i="26"/>
  <c r="K85" i="26"/>
  <c r="E85" i="26"/>
  <c r="G85" i="26" s="1"/>
  <c r="S85" i="26" s="1"/>
  <c r="O85" i="26" s="1"/>
  <c r="J85" i="26" s="1"/>
  <c r="I85" i="26" s="1"/>
  <c r="W85" i="26" s="1"/>
  <c r="AA85" i="26" s="1"/>
  <c r="V85" i="26"/>
  <c r="K72" i="26"/>
  <c r="Z72" i="26" s="1"/>
  <c r="D72" i="26"/>
  <c r="Y72" i="26"/>
  <c r="R71" i="26"/>
  <c r="N71" i="26" s="1"/>
  <c r="I44" i="26"/>
  <c r="AA47" i="26"/>
  <c r="AD47" i="26" s="1"/>
  <c r="AD44" i="26" s="1"/>
  <c r="Y68" i="26"/>
  <c r="K68" i="26"/>
  <c r="E68" i="26"/>
  <c r="G68" i="26" s="1"/>
  <c r="S68" i="26" s="1"/>
  <c r="O68" i="26" s="1"/>
  <c r="J68" i="26" s="1"/>
  <c r="I68" i="26" s="1"/>
  <c r="V68" i="26"/>
  <c r="V55" i="26"/>
  <c r="W55" i="26" s="1"/>
  <c r="Y79" i="26"/>
  <c r="K79" i="26"/>
  <c r="Z79" i="26" s="1"/>
  <c r="D79" i="26"/>
  <c r="Y59" i="26"/>
  <c r="E59" i="26"/>
  <c r="G59" i="26" s="1"/>
  <c r="S59" i="26" s="1"/>
  <c r="O59" i="26" s="1"/>
  <c r="K59" i="26"/>
  <c r="K74" i="26"/>
  <c r="Z74" i="26" s="1"/>
  <c r="D74" i="26"/>
  <c r="Y74" i="26"/>
  <c r="K73" i="26"/>
  <c r="Z73" i="26" s="1"/>
  <c r="Y73" i="26"/>
  <c r="D73" i="26"/>
  <c r="V73" i="26"/>
  <c r="W73" i="26" s="1"/>
  <c r="AA73" i="26" s="1"/>
  <c r="Y86" i="26"/>
  <c r="K86" i="26"/>
  <c r="Z86" i="26" s="1"/>
  <c r="D86" i="26"/>
  <c r="E57" i="26"/>
  <c r="G57" i="26" s="1"/>
  <c r="S57" i="26" s="1"/>
  <c r="O57" i="26" s="1"/>
  <c r="J57" i="26" s="1"/>
  <c r="I57" i="26" s="1"/>
  <c r="Y57" i="26"/>
  <c r="K57" i="26"/>
  <c r="Y77" i="26"/>
  <c r="D77" i="26"/>
  <c r="K77" i="26"/>
  <c r="Z77" i="26" s="1"/>
  <c r="Y66" i="26"/>
  <c r="E66" i="26"/>
  <c r="G66" i="26" s="1"/>
  <c r="S66" i="26" s="1"/>
  <c r="O66" i="26" s="1"/>
  <c r="J66" i="26" s="1"/>
  <c r="I66" i="26" s="1"/>
  <c r="K66" i="26"/>
  <c r="V66" i="26"/>
  <c r="H11" i="66"/>
  <c r="M12" i="66"/>
  <c r="E60" i="26"/>
  <c r="G60" i="26" s="1"/>
  <c r="S60" i="26" s="1"/>
  <c r="O60" i="26" s="1"/>
  <c r="J60" i="26" s="1"/>
  <c r="I60" i="26" s="1"/>
  <c r="K60" i="26"/>
  <c r="Y60" i="26"/>
  <c r="V60" i="26"/>
  <c r="V67" i="26"/>
  <c r="W67" i="26" s="1"/>
  <c r="AA67" i="26" s="1"/>
  <c r="D67" i="26"/>
  <c r="X67" i="26" s="1"/>
  <c r="Y67" i="26"/>
  <c r="K67" i="26"/>
  <c r="Z67" i="26" s="1"/>
  <c r="V75" i="26"/>
  <c r="W75" i="26" s="1"/>
  <c r="AA75" i="26" s="1"/>
  <c r="D75" i="26"/>
  <c r="X75" i="26" s="1"/>
  <c r="Y75" i="26"/>
  <c r="K75" i="26"/>
  <c r="Z75" i="26" s="1"/>
  <c r="D65" i="26"/>
  <c r="V65" i="26"/>
  <c r="W65" i="26" s="1"/>
  <c r="AA65" i="26" s="1"/>
  <c r="Y65" i="26"/>
  <c r="K65" i="26"/>
  <c r="Z65" i="26" s="1"/>
  <c r="R65" i="26"/>
  <c r="N65" i="26" s="1"/>
  <c r="X71" i="26"/>
  <c r="X55" i="26"/>
  <c r="Z55" i="26"/>
  <c r="I8" i="26"/>
  <c r="J8" i="26" s="1"/>
  <c r="AA9" i="26"/>
  <c r="L58" i="26"/>
  <c r="L54" i="26"/>
  <c r="L52" i="26" s="1"/>
  <c r="AF47" i="26"/>
  <c r="AF51" i="26"/>
  <c r="AF13" i="26"/>
  <c r="AA55" i="26" l="1"/>
  <c r="R55" i="26"/>
  <c r="N55" i="26" s="1"/>
  <c r="Y52" i="26"/>
  <c r="N54" i="63"/>
  <c r="R67" i="26"/>
  <c r="N67" i="26" s="1"/>
  <c r="X60" i="26"/>
  <c r="Z60" i="26"/>
  <c r="W66" i="26"/>
  <c r="V57" i="26"/>
  <c r="R73" i="26"/>
  <c r="N73" i="26" s="1"/>
  <c r="E79" i="26"/>
  <c r="G79" i="26" s="1"/>
  <c r="S79" i="26" s="1"/>
  <c r="X79" i="26"/>
  <c r="R85" i="26"/>
  <c r="N85" i="26" s="1"/>
  <c r="X87" i="26"/>
  <c r="R80" i="26"/>
  <c r="N80" i="26" s="1"/>
  <c r="R69" i="26"/>
  <c r="N69" i="26" s="1"/>
  <c r="X63" i="26"/>
  <c r="Z56" i="26"/>
  <c r="X56" i="26"/>
  <c r="L12" i="66"/>
  <c r="D11" i="66"/>
  <c r="W60" i="26"/>
  <c r="X57" i="26"/>
  <c r="Z57" i="26"/>
  <c r="I89" i="26"/>
  <c r="AA44" i="26"/>
  <c r="X76" i="26"/>
  <c r="Z76" i="26"/>
  <c r="X70" i="26"/>
  <c r="E70" i="26"/>
  <c r="X83" i="26"/>
  <c r="Z83" i="26"/>
  <c r="V58" i="26"/>
  <c r="W58" i="26" s="1"/>
  <c r="AA58" i="26" s="1"/>
  <c r="Y58" i="26"/>
  <c r="D58" i="26"/>
  <c r="X58" i="26" s="1"/>
  <c r="K58" i="26"/>
  <c r="Z58" i="26" s="1"/>
  <c r="R58" i="26"/>
  <c r="N58" i="26" s="1"/>
  <c r="X65" i="26"/>
  <c r="AD9" i="26"/>
  <c r="X73" i="26"/>
  <c r="V59" i="26"/>
  <c r="W59" i="26" s="1"/>
  <c r="AB71" i="26"/>
  <c r="R61" i="26"/>
  <c r="N61" i="26" s="1"/>
  <c r="V84" i="26"/>
  <c r="AA89" i="26"/>
  <c r="AD89" i="26" s="1"/>
  <c r="R75" i="26"/>
  <c r="N75" i="26" s="1"/>
  <c r="W57" i="26"/>
  <c r="X59" i="26"/>
  <c r="Z59" i="26"/>
  <c r="Z85" i="26"/>
  <c r="X85" i="26"/>
  <c r="W84" i="26"/>
  <c r="R78" i="26"/>
  <c r="N78" i="26" s="1"/>
  <c r="Z80" i="26"/>
  <c r="X80" i="26"/>
  <c r="X69" i="26"/>
  <c r="X84" i="26"/>
  <c r="Z84" i="26"/>
  <c r="E77" i="26"/>
  <c r="G77" i="26" s="1"/>
  <c r="S77" i="26" s="1"/>
  <c r="X77" i="26"/>
  <c r="X86" i="26"/>
  <c r="E86" i="26"/>
  <c r="G86" i="26" s="1"/>
  <c r="S86" i="26" s="1"/>
  <c r="W68" i="26"/>
  <c r="X61" i="26"/>
  <c r="V81" i="26"/>
  <c r="AB64" i="26"/>
  <c r="AD64" i="26" s="1"/>
  <c r="Z53" i="26"/>
  <c r="V56" i="26"/>
  <c r="K54" i="26"/>
  <c r="Z54" i="26" s="1"/>
  <c r="Y54" i="26"/>
  <c r="D54" i="26"/>
  <c r="AB65" i="26"/>
  <c r="AD65" i="26" s="1"/>
  <c r="Z68" i="26"/>
  <c r="X68" i="26"/>
  <c r="X72" i="26"/>
  <c r="E72" i="26"/>
  <c r="G72" i="26" s="1"/>
  <c r="S72" i="26" s="1"/>
  <c r="V76" i="26"/>
  <c r="W76" i="26" s="1"/>
  <c r="W81" i="26"/>
  <c r="AB87" i="26"/>
  <c r="AD87" i="26" s="1"/>
  <c r="V83" i="26"/>
  <c r="X53" i="26"/>
  <c r="E53" i="26"/>
  <c r="G53" i="26" s="1"/>
  <c r="S53" i="26" s="1"/>
  <c r="D52" i="26"/>
  <c r="Z66" i="26"/>
  <c r="X66" i="26"/>
  <c r="X74" i="26"/>
  <c r="E74" i="26"/>
  <c r="G74" i="26" s="1"/>
  <c r="S74" i="26" s="1"/>
  <c r="AB70" i="26"/>
  <c r="AD70" i="26" s="1"/>
  <c r="X81" i="26"/>
  <c r="Z81" i="26"/>
  <c r="O62" i="26"/>
  <c r="J62" i="26" s="1"/>
  <c r="I62" i="26" s="1"/>
  <c r="V62" i="26"/>
  <c r="W83" i="26"/>
  <c r="AB63" i="26"/>
  <c r="AD63" i="26" s="1"/>
  <c r="W56" i="26"/>
  <c r="AF46" i="26"/>
  <c r="AF45" i="26"/>
  <c r="AF48" i="26"/>
  <c r="AF11" i="26"/>
  <c r="AA76" i="26" l="1"/>
  <c r="R76" i="26"/>
  <c r="N76" i="26" s="1"/>
  <c r="W62" i="26"/>
  <c r="AA81" i="26"/>
  <c r="R81" i="26"/>
  <c r="N81" i="26" s="1"/>
  <c r="O77" i="26"/>
  <c r="J77" i="26" s="1"/>
  <c r="I77" i="26" s="1"/>
  <c r="W77" i="26" s="1"/>
  <c r="V77" i="26"/>
  <c r="AB58" i="26"/>
  <c r="AD58" i="26" s="1"/>
  <c r="AB85" i="26"/>
  <c r="AD85" i="26" s="1"/>
  <c r="AB67" i="26"/>
  <c r="AD67" i="26" s="1"/>
  <c r="AA84" i="26"/>
  <c r="R84" i="26"/>
  <c r="N84" i="26" s="1"/>
  <c r="AB61" i="26"/>
  <c r="AD61" i="26" s="1"/>
  <c r="G59" i="63" s="1"/>
  <c r="H59" i="63" s="1"/>
  <c r="E53" i="70"/>
  <c r="O54" i="63"/>
  <c r="F53" i="70" s="1"/>
  <c r="D90" i="26"/>
  <c r="O72" i="26"/>
  <c r="J72" i="26" s="1"/>
  <c r="I72" i="26" s="1"/>
  <c r="W72" i="26" s="1"/>
  <c r="V72" i="26"/>
  <c r="E54" i="26"/>
  <c r="G54" i="26" s="1"/>
  <c r="S54" i="26" s="1"/>
  <c r="S52" i="26" s="1"/>
  <c r="X54" i="26"/>
  <c r="O79" i="26"/>
  <c r="J79" i="26" s="1"/>
  <c r="I79" i="26" s="1"/>
  <c r="W79" i="26" s="1"/>
  <c r="V79" i="26"/>
  <c r="AA60" i="26"/>
  <c r="R60" i="26"/>
  <c r="N60" i="26" s="1"/>
  <c r="AA56" i="26"/>
  <c r="R56" i="26"/>
  <c r="N56" i="26" s="1"/>
  <c r="O53" i="26"/>
  <c r="J53" i="26" s="1"/>
  <c r="N53" i="26"/>
  <c r="V53" i="26"/>
  <c r="AD71" i="26"/>
  <c r="G62" i="63" s="1"/>
  <c r="H62" i="63" s="1"/>
  <c r="M8" i="66"/>
  <c r="H7" i="66"/>
  <c r="AB73" i="26"/>
  <c r="AD73" i="26" s="1"/>
  <c r="R68" i="26"/>
  <c r="N68" i="26" s="1"/>
  <c r="AA68" i="26"/>
  <c r="AA57" i="26"/>
  <c r="R57" i="26"/>
  <c r="N57" i="26" s="1"/>
  <c r="AA59" i="26"/>
  <c r="R59" i="26"/>
  <c r="N59" i="26" s="1"/>
  <c r="O86" i="26"/>
  <c r="J86" i="26" s="1"/>
  <c r="I86" i="26" s="1"/>
  <c r="V86" i="26"/>
  <c r="AB75" i="26"/>
  <c r="AD75" i="26" s="1"/>
  <c r="AB69" i="26"/>
  <c r="AD69" i="26" s="1"/>
  <c r="AA66" i="26"/>
  <c r="R66" i="26"/>
  <c r="N66" i="26" s="1"/>
  <c r="AB55" i="26"/>
  <c r="AD55" i="26" s="1"/>
  <c r="AA83" i="26"/>
  <c r="R83" i="26"/>
  <c r="N83" i="26" s="1"/>
  <c r="O74" i="26"/>
  <c r="J74" i="26" s="1"/>
  <c r="I74" i="26" s="1"/>
  <c r="W74" i="26" s="1"/>
  <c r="V74" i="26"/>
  <c r="K52" i="26"/>
  <c r="AB78" i="26"/>
  <c r="AD78" i="26" s="1"/>
  <c r="AB80" i="26"/>
  <c r="AD80" i="26" s="1"/>
  <c r="O52" i="26" l="1"/>
  <c r="S90" i="26"/>
  <c r="W86" i="26"/>
  <c r="AB56" i="26"/>
  <c r="AD56" i="26" s="1"/>
  <c r="AB84" i="26"/>
  <c r="AD84" i="26" s="1"/>
  <c r="AB66" i="26"/>
  <c r="AD66" i="26" s="1"/>
  <c r="AB59" i="26"/>
  <c r="AD59" i="26" s="1"/>
  <c r="AA72" i="26"/>
  <c r="R72" i="26"/>
  <c r="N72" i="26" s="1"/>
  <c r="AA77" i="26"/>
  <c r="R77" i="26"/>
  <c r="N77" i="26" s="1"/>
  <c r="Z52" i="26"/>
  <c r="AB60" i="26"/>
  <c r="AD60" i="26" s="1"/>
  <c r="X52" i="26"/>
  <c r="AB81" i="26"/>
  <c r="AD81" i="26" s="1"/>
  <c r="AB57" i="26"/>
  <c r="AD57" i="26" s="1"/>
  <c r="R74" i="26"/>
  <c r="N74" i="26" s="1"/>
  <c r="AA74" i="26"/>
  <c r="AA62" i="26"/>
  <c r="R62" i="26"/>
  <c r="N62" i="26" s="1"/>
  <c r="AB83" i="26"/>
  <c r="AD83" i="26" s="1"/>
  <c r="AB53" i="26"/>
  <c r="AA79" i="26"/>
  <c r="R79" i="26"/>
  <c r="N79" i="26" s="1"/>
  <c r="AB76" i="26"/>
  <c r="AD76" i="26" s="1"/>
  <c r="G56" i="63" s="1"/>
  <c r="H56" i="63" s="1"/>
  <c r="AB68" i="26"/>
  <c r="AD68" i="26" s="1"/>
  <c r="I53" i="26"/>
  <c r="O54" i="26"/>
  <c r="J54" i="26" s="1"/>
  <c r="I54" i="26" s="1"/>
  <c r="W54" i="26" s="1"/>
  <c r="V54" i="26"/>
  <c r="N62" i="63"/>
  <c r="L22" i="26"/>
  <c r="AD96" i="26" l="1"/>
  <c r="AB77" i="26"/>
  <c r="AD77" i="26" s="1"/>
  <c r="AB62" i="26"/>
  <c r="AD62" i="26" s="1"/>
  <c r="AB79" i="26"/>
  <c r="AD79" i="26" s="1"/>
  <c r="AB72" i="26"/>
  <c r="AD72" i="26" s="1"/>
  <c r="AA54" i="26"/>
  <c r="R54" i="26"/>
  <c r="E22" i="26"/>
  <c r="G22" i="26" s="1"/>
  <c r="S22" i="26" s="1"/>
  <c r="K22" i="26"/>
  <c r="L8" i="26"/>
  <c r="Y22" i="26"/>
  <c r="J52" i="26"/>
  <c r="J90" i="26" s="1"/>
  <c r="AB74" i="26"/>
  <c r="AD74" i="26" s="1"/>
  <c r="R86" i="26"/>
  <c r="N86" i="26" s="1"/>
  <c r="AA86" i="26"/>
  <c r="I52" i="26"/>
  <c r="I90" i="26" s="1"/>
  <c r="W53" i="26"/>
  <c r="O62" i="63"/>
  <c r="F61" i="70" s="1"/>
  <c r="E61" i="70"/>
  <c r="AF50" i="26"/>
  <c r="AF49" i="26"/>
  <c r="W52" i="26" l="1"/>
  <c r="AA53" i="26"/>
  <c r="AD53" i="26" s="1"/>
  <c r="K8" i="26"/>
  <c r="L90" i="26"/>
  <c r="Y90" i="26" s="1"/>
  <c r="C26" i="59"/>
  <c r="C12" i="59" s="1"/>
  <c r="C95" i="59" s="1"/>
  <c r="X22" i="26"/>
  <c r="Z22" i="26"/>
  <c r="O22" i="26"/>
  <c r="O8" i="26" s="1"/>
  <c r="O90" i="26" s="1"/>
  <c r="N22" i="26"/>
  <c r="V22" i="26" s="1"/>
  <c r="V8" i="26" s="1"/>
  <c r="AB86" i="26"/>
  <c r="AD86" i="26" s="1"/>
  <c r="R52" i="26"/>
  <c r="N54" i="26"/>
  <c r="AF44" i="26"/>
  <c r="AF24" i="26"/>
  <c r="W22" i="26" l="1"/>
  <c r="AA22" i="26" s="1"/>
  <c r="AB54" i="26"/>
  <c r="AD54" i="26" s="1"/>
  <c r="G58" i="63" s="1"/>
  <c r="H58" i="63" s="1"/>
  <c r="N52" i="26"/>
  <c r="R90" i="26"/>
  <c r="L94" i="26"/>
  <c r="M94" i="26" s="1"/>
  <c r="AF22" i="26"/>
  <c r="AB22" i="26"/>
  <c r="N8" i="26"/>
  <c r="X8" i="26"/>
  <c r="K90" i="26"/>
  <c r="AA52" i="26"/>
  <c r="N56" i="63"/>
  <c r="AD22" i="26" l="1"/>
  <c r="AD52" i="26"/>
  <c r="AD90" i="26" s="1"/>
  <c r="W8" i="26"/>
  <c r="W90" i="26" s="1"/>
  <c r="AA90" i="26" s="1"/>
  <c r="AF8" i="26"/>
  <c r="AB52" i="26"/>
  <c r="N90" i="26"/>
  <c r="V52" i="26"/>
  <c r="V90" i="26" s="1"/>
  <c r="Z90" i="26"/>
  <c r="X90" i="26"/>
  <c r="E55" i="70"/>
  <c r="O56" i="63"/>
  <c r="F55" i="70" s="1"/>
  <c r="AF93" i="26" l="1"/>
  <c r="AB90" i="26"/>
  <c r="G5" i="61"/>
  <c r="G64" i="63" s="1"/>
  <c r="H64" i="63" s="1"/>
  <c r="R95" i="26"/>
  <c r="G6" i="61" s="1"/>
  <c r="C105" i="57"/>
  <c r="O63" i="57" l="1"/>
  <c r="O49" i="57"/>
  <c r="S34" i="57"/>
  <c r="T75" i="57"/>
  <c r="U66" i="57"/>
  <c r="P51" i="57"/>
  <c r="T63" i="57"/>
  <c r="Q65" i="57"/>
  <c r="V55" i="57"/>
  <c r="O20" i="57"/>
  <c r="O51" i="57"/>
  <c r="N43" i="57"/>
  <c r="V76" i="57"/>
  <c r="R21" i="57"/>
  <c r="T48" i="57"/>
  <c r="S70" i="57"/>
  <c r="U69" i="57"/>
  <c r="S38" i="57"/>
  <c r="W56" i="57"/>
  <c r="O70" i="57"/>
  <c r="N77" i="57"/>
  <c r="X11" i="57"/>
  <c r="V87" i="57"/>
  <c r="W82" i="57"/>
  <c r="S56" i="57"/>
  <c r="P80" i="57"/>
  <c r="Q71" i="57"/>
  <c r="R77" i="57"/>
  <c r="U57" i="57"/>
  <c r="O40" i="57"/>
  <c r="O11" i="57"/>
  <c r="N22" i="57"/>
  <c r="Q17" i="57"/>
  <c r="Q46" i="57"/>
  <c r="T86" i="57"/>
  <c r="S35" i="57"/>
  <c r="X70" i="57"/>
  <c r="Q12" i="57"/>
  <c r="Q48" i="57"/>
  <c r="T72" i="57"/>
  <c r="O73" i="57"/>
  <c r="N23" i="57"/>
  <c r="W34" i="57"/>
  <c r="V100" i="57"/>
  <c r="U74" i="57"/>
  <c r="T38" i="57"/>
  <c r="S15" i="57"/>
  <c r="Q14" i="57"/>
  <c r="U54" i="57"/>
  <c r="O85" i="57"/>
  <c r="N40" i="57"/>
  <c r="O89" i="57"/>
  <c r="P39" i="57"/>
  <c r="P12" i="57"/>
  <c r="S68" i="57"/>
  <c r="S79" i="57"/>
  <c r="Q49" i="57"/>
  <c r="R61" i="57"/>
  <c r="R85" i="57"/>
  <c r="O72" i="57"/>
  <c r="N35" i="57"/>
  <c r="X85" i="57"/>
  <c r="R73" i="57"/>
  <c r="W84" i="57"/>
  <c r="S86" i="57"/>
  <c r="T69" i="57"/>
  <c r="S24" i="57"/>
  <c r="Q85" i="57"/>
  <c r="X32" i="57"/>
  <c r="N101" i="57"/>
  <c r="T11" i="57"/>
  <c r="U83" i="57"/>
  <c r="X23" i="57"/>
  <c r="T56" i="57"/>
  <c r="R58" i="57"/>
  <c r="R43" i="57"/>
  <c r="S32" i="57"/>
  <c r="V50" i="57"/>
  <c r="U47" i="57"/>
  <c r="T52" i="57"/>
  <c r="R38" i="57"/>
  <c r="U53" i="57"/>
  <c r="S53" i="57"/>
  <c r="S51" i="57"/>
  <c r="O27" i="57"/>
  <c r="O30" i="57"/>
  <c r="N63" i="57"/>
  <c r="U86" i="57"/>
  <c r="P85" i="57"/>
  <c r="R59" i="57"/>
  <c r="P24" i="57"/>
  <c r="X65" i="57"/>
  <c r="P89" i="57"/>
  <c r="T88" i="57"/>
  <c r="O82" i="57"/>
  <c r="N54" i="57"/>
  <c r="N84" i="57"/>
  <c r="T37" i="57"/>
  <c r="S45" i="57"/>
  <c r="Q62" i="57"/>
  <c r="X17" i="57"/>
  <c r="V79" i="57"/>
  <c r="U89" i="57"/>
  <c r="P22" i="57"/>
  <c r="W11" i="57"/>
  <c r="N12" i="57"/>
  <c r="V16" i="57"/>
  <c r="X54" i="57"/>
  <c r="X20" i="57"/>
  <c r="P73" i="57"/>
  <c r="T44" i="57"/>
  <c r="P48" i="57"/>
  <c r="X102" i="57"/>
  <c r="T19" i="57"/>
  <c r="N27" i="57"/>
  <c r="N46" i="57"/>
  <c r="G48" i="59" s="1"/>
  <c r="S89" i="57"/>
  <c r="T100" i="57"/>
  <c r="X58" i="57"/>
  <c r="X72" i="57"/>
  <c r="V18" i="57"/>
  <c r="S62" i="57"/>
  <c r="W20" i="57"/>
  <c r="S69" i="57"/>
  <c r="Q35" i="57"/>
  <c r="N18" i="57"/>
  <c r="O78" i="57"/>
  <c r="X73" i="57"/>
  <c r="W90" i="57"/>
  <c r="V83" i="57"/>
  <c r="R52" i="57"/>
  <c r="W77" i="57"/>
  <c r="R41" i="57"/>
  <c r="P77" i="57"/>
  <c r="O74" i="57"/>
  <c r="N45" i="57"/>
  <c r="N38" i="57"/>
  <c r="T39" i="57"/>
  <c r="V86" i="57"/>
  <c r="X89" i="57"/>
  <c r="Q86" i="57"/>
  <c r="Q55" i="57"/>
  <c r="V57" i="57"/>
  <c r="V102" i="57"/>
  <c r="O45" i="57"/>
  <c r="N17" i="57"/>
  <c r="P81" i="57"/>
  <c r="U24" i="57"/>
  <c r="W15" i="57"/>
  <c r="X15" i="57"/>
  <c r="U23" i="57"/>
  <c r="V43" i="57"/>
  <c r="P34" i="57"/>
  <c r="U46" i="57"/>
  <c r="N32" i="57"/>
  <c r="O18" i="57"/>
  <c r="V80" i="57"/>
  <c r="V32" i="57"/>
  <c r="V12" i="57"/>
  <c r="R39" i="57"/>
  <c r="Q45" i="57"/>
  <c r="Q70" i="57"/>
  <c r="T46" i="57"/>
  <c r="Q63" i="57"/>
  <c r="V101" i="57"/>
  <c r="U36" i="57"/>
  <c r="U85" i="57"/>
  <c r="R101" i="57"/>
  <c r="V11" i="57"/>
  <c r="N21" i="57"/>
  <c r="N73" i="57"/>
  <c r="Q80" i="57"/>
  <c r="U21" i="57"/>
  <c r="Q82" i="57"/>
  <c r="Q89" i="57"/>
  <c r="X53" i="57"/>
  <c r="R44" i="57"/>
  <c r="R40" i="57"/>
  <c r="N52" i="57"/>
  <c r="N51" i="57"/>
  <c r="N71" i="57"/>
  <c r="T83" i="57"/>
  <c r="S12" i="57"/>
  <c r="V56" i="57"/>
  <c r="Q27" i="57"/>
  <c r="Q77" i="57"/>
  <c r="U73" i="57"/>
  <c r="R89" i="57"/>
  <c r="N81" i="57"/>
  <c r="O57" i="57"/>
  <c r="W78" i="57"/>
  <c r="U27" i="57"/>
  <c r="T23" i="57"/>
  <c r="S36" i="57"/>
  <c r="R88" i="57"/>
  <c r="R55" i="57"/>
  <c r="S77" i="57"/>
  <c r="R23" i="57"/>
  <c r="N65" i="57"/>
  <c r="O101" i="57"/>
  <c r="T102" i="57"/>
  <c r="V23" i="57"/>
  <c r="S22" i="57"/>
  <c r="S73" i="57"/>
  <c r="X68" i="57"/>
  <c r="W66" i="57"/>
  <c r="V58" i="57"/>
  <c r="U16" i="57"/>
  <c r="O15" i="57"/>
  <c r="O65" i="57"/>
  <c r="N49" i="57"/>
  <c r="X36" i="57"/>
  <c r="V68" i="57"/>
  <c r="W48" i="57"/>
  <c r="Q69" i="57"/>
  <c r="S72" i="57"/>
  <c r="Q15" i="57"/>
  <c r="P45" i="57"/>
  <c r="O26" i="57"/>
  <c r="O56" i="57"/>
  <c r="N16" i="57"/>
  <c r="V37" i="57"/>
  <c r="U37" i="57"/>
  <c r="Q59" i="57"/>
  <c r="O44" i="57"/>
  <c r="O86" i="57"/>
  <c r="U11" i="57"/>
  <c r="R53" i="57"/>
  <c r="V89" i="57"/>
  <c r="S27" i="57"/>
  <c r="R16" i="57"/>
  <c r="Q75" i="57"/>
  <c r="X87" i="57"/>
  <c r="P40" i="57"/>
  <c r="N59" i="57"/>
  <c r="N69" i="57"/>
  <c r="N57" i="57"/>
  <c r="P49" i="57"/>
  <c r="R14" i="57"/>
  <c r="Q40" i="57"/>
  <c r="S17" i="57"/>
  <c r="P43" i="57"/>
  <c r="U101" i="57"/>
  <c r="X37" i="57"/>
  <c r="O35" i="57"/>
  <c r="O21" i="57"/>
  <c r="S90" i="57"/>
  <c r="V35" i="57"/>
  <c r="X71" i="57"/>
  <c r="T73" i="57"/>
  <c r="T78" i="57"/>
  <c r="T101" i="57"/>
  <c r="U81" i="57"/>
  <c r="S21" i="57"/>
  <c r="N89" i="57"/>
  <c r="O19" i="57"/>
  <c r="P66" i="57"/>
  <c r="U82" i="57"/>
  <c r="P78" i="57"/>
  <c r="X63" i="57"/>
  <c r="Q73" i="57"/>
  <c r="V34" i="57"/>
  <c r="X64" i="57"/>
  <c r="W24" i="57"/>
  <c r="O39" i="57"/>
  <c r="N55" i="57"/>
  <c r="O47" i="57"/>
  <c r="U78" i="57"/>
  <c r="R34" i="57"/>
  <c r="S78" i="57"/>
  <c r="Q26" i="57"/>
  <c r="X38" i="57"/>
  <c r="U28" i="57"/>
  <c r="R81" i="57"/>
  <c r="N74" i="57"/>
  <c r="O68" i="57"/>
  <c r="N11" i="57"/>
  <c r="R68" i="57"/>
  <c r="S40" i="57"/>
  <c r="P57" i="57"/>
  <c r="W51" i="57"/>
  <c r="S83" i="57"/>
  <c r="V52" i="57"/>
  <c r="N36" i="57"/>
  <c r="N26" i="57"/>
  <c r="O60" i="57"/>
  <c r="T65" i="57"/>
  <c r="P56" i="57"/>
  <c r="P30" i="57"/>
  <c r="R47" i="57"/>
  <c r="W55" i="57"/>
  <c r="W64" i="57"/>
  <c r="W86" i="57"/>
  <c r="N88" i="57"/>
  <c r="N87" i="57"/>
  <c r="N90" i="57"/>
  <c r="S60" i="57"/>
  <c r="R65" i="57"/>
  <c r="W100" i="57"/>
  <c r="T47" i="57"/>
  <c r="R18" i="57"/>
  <c r="T32" i="57"/>
  <c r="Q32" i="57"/>
  <c r="U72" i="57"/>
  <c r="P86" i="57"/>
  <c r="Q101" i="57"/>
  <c r="X69" i="57"/>
  <c r="X34" i="57"/>
  <c r="N14" i="57"/>
  <c r="N70" i="57"/>
  <c r="N75" i="57"/>
  <c r="W29" i="57"/>
  <c r="T50" i="57"/>
  <c r="R83" i="57"/>
  <c r="R84" i="57"/>
  <c r="V67" i="57"/>
  <c r="T85" i="57"/>
  <c r="T71" i="57"/>
  <c r="N47" i="57"/>
  <c r="N102" i="57"/>
  <c r="G95" i="59" s="1"/>
  <c r="I95" i="59" s="1"/>
  <c r="R71" i="57"/>
  <c r="W63" i="57"/>
  <c r="X66" i="57"/>
  <c r="R63" i="57"/>
  <c r="P17" i="57"/>
  <c r="W89" i="57"/>
  <c r="W60" i="57"/>
  <c r="Q52" i="57"/>
  <c r="N67" i="57"/>
  <c r="N62" i="57"/>
  <c r="W88" i="57"/>
  <c r="V24" i="57"/>
  <c r="T20" i="57"/>
  <c r="X41" i="57"/>
  <c r="W71" i="57"/>
  <c r="T28" i="57"/>
  <c r="U80" i="57"/>
  <c r="T87" i="57"/>
  <c r="O84" i="57"/>
  <c r="O48" i="57"/>
  <c r="U76" i="57"/>
  <c r="R32" i="57"/>
  <c r="W26" i="57"/>
  <c r="V53" i="57"/>
  <c r="W76" i="57"/>
  <c r="S66" i="57"/>
  <c r="U71" i="57"/>
  <c r="W44" i="57"/>
  <c r="N61" i="57"/>
  <c r="N53" i="57"/>
  <c r="O17" i="57"/>
  <c r="X86" i="57"/>
  <c r="P44" i="57"/>
  <c r="U88" i="57"/>
  <c r="V44" i="57"/>
  <c r="T21" i="57"/>
  <c r="S16" i="57"/>
  <c r="T60" i="57"/>
  <c r="O52" i="57"/>
  <c r="O66" i="57"/>
  <c r="R36" i="57"/>
  <c r="S64" i="57"/>
  <c r="R30" i="57"/>
  <c r="T70" i="57"/>
  <c r="V45" i="57"/>
  <c r="X46" i="57"/>
  <c r="W36" i="57"/>
  <c r="N83" i="57"/>
  <c r="N37" i="57"/>
  <c r="O22" i="57"/>
  <c r="S48" i="57"/>
  <c r="W68" i="57"/>
  <c r="Q76" i="57"/>
  <c r="V64" i="57"/>
  <c r="W27" i="57"/>
  <c r="X27" i="57"/>
  <c r="R69" i="57"/>
  <c r="O61" i="57"/>
  <c r="O79" i="57"/>
  <c r="N29" i="57"/>
  <c r="P29" i="57"/>
  <c r="W39" i="57"/>
  <c r="P18" i="57"/>
  <c r="P50" i="57"/>
  <c r="V84" i="57"/>
  <c r="P37" i="57"/>
  <c r="R54" i="57"/>
  <c r="R12" i="57"/>
  <c r="V14" i="57"/>
  <c r="W38" i="57"/>
  <c r="U40" i="57"/>
  <c r="Q100" i="57"/>
  <c r="W70" i="57"/>
  <c r="N80" i="57"/>
  <c r="O12" i="57"/>
  <c r="N19" i="57"/>
  <c r="X77" i="57"/>
  <c r="U22" i="57"/>
  <c r="X60" i="57"/>
  <c r="X30" i="57"/>
  <c r="S52" i="57"/>
  <c r="W87" i="57"/>
  <c r="V82" i="57"/>
  <c r="O62" i="57"/>
  <c r="N39" i="57"/>
  <c r="X29" i="57"/>
  <c r="W50" i="57"/>
  <c r="X79" i="57"/>
  <c r="V19" i="57"/>
  <c r="S28" i="57"/>
  <c r="Q37" i="57"/>
  <c r="P76" i="57"/>
  <c r="N78" i="57"/>
  <c r="O71" i="57"/>
  <c r="S11" i="57"/>
  <c r="Q39" i="57"/>
  <c r="V69" i="57"/>
  <c r="U34" i="57"/>
  <c r="W83" i="57"/>
  <c r="X62" i="57"/>
  <c r="T81" i="57"/>
  <c r="S14" i="57"/>
  <c r="N44" i="57"/>
  <c r="N66" i="57"/>
  <c r="O53" i="57"/>
  <c r="T57" i="57"/>
  <c r="W67" i="57"/>
  <c r="P79" i="57"/>
  <c r="V77" i="57"/>
  <c r="S65" i="57"/>
  <c r="X50" i="57"/>
  <c r="V40" i="57"/>
  <c r="W85" i="57"/>
  <c r="N79" i="57"/>
  <c r="O29" i="57"/>
  <c r="N41" i="57"/>
  <c r="P60" i="57"/>
  <c r="T58" i="57"/>
  <c r="R87" i="57"/>
  <c r="S20" i="57"/>
  <c r="X83" i="57"/>
  <c r="P74" i="57"/>
  <c r="X12" i="57"/>
  <c r="O69" i="57"/>
  <c r="O87" i="57"/>
  <c r="P28" i="57"/>
  <c r="P47" i="57"/>
  <c r="Q72" i="57"/>
  <c r="U64" i="57"/>
  <c r="T26" i="57"/>
  <c r="W35" i="57"/>
  <c r="W101" i="57"/>
  <c r="N72" i="57"/>
  <c r="O41" i="57"/>
  <c r="N58" i="57"/>
  <c r="V70" i="57"/>
  <c r="O83" i="57"/>
  <c r="O58" i="57"/>
  <c r="U84" i="57"/>
  <c r="R57" i="57"/>
  <c r="Q61" i="57"/>
  <c r="S87" i="57"/>
  <c r="S63" i="57"/>
  <c r="T29" i="57"/>
  <c r="Q16" i="57"/>
  <c r="P61" i="57"/>
  <c r="P11" i="57"/>
  <c r="O67" i="57"/>
  <c r="P36" i="57"/>
  <c r="W54" i="57"/>
  <c r="R48" i="57"/>
  <c r="V61" i="57"/>
  <c r="W46" i="57"/>
  <c r="V74" i="57"/>
  <c r="Q23" i="57"/>
  <c r="O43" i="57"/>
  <c r="O55" i="57"/>
  <c r="Q11" i="57"/>
  <c r="P23" i="57"/>
  <c r="W30" i="57"/>
  <c r="Q29" i="57"/>
  <c r="R46" i="57"/>
  <c r="V71" i="57"/>
  <c r="Q83" i="57"/>
  <c r="S50" i="57"/>
  <c r="N15" i="57"/>
  <c r="R11" i="57"/>
  <c r="O81" i="57"/>
  <c r="T74" i="57"/>
  <c r="V51" i="57"/>
  <c r="X84" i="57"/>
  <c r="Q64" i="57"/>
  <c r="V28" i="57"/>
  <c r="Q90" i="57"/>
  <c r="W53" i="57"/>
  <c r="Q43" i="57"/>
  <c r="N60" i="57"/>
  <c r="O37" i="57"/>
  <c r="S58" i="57"/>
  <c r="R64" i="57"/>
  <c r="T84" i="57"/>
  <c r="T66" i="57"/>
  <c r="T79" i="57"/>
  <c r="T40" i="57"/>
  <c r="V63" i="57"/>
  <c r="W23" i="57"/>
  <c r="O14" i="57"/>
  <c r="O80" i="57"/>
  <c r="U75" i="57"/>
  <c r="U60" i="57"/>
  <c r="S76" i="57"/>
  <c r="S101" i="57"/>
  <c r="X18" i="57"/>
  <c r="P55" i="57"/>
  <c r="T51" i="57"/>
  <c r="N68" i="57"/>
  <c r="O77" i="57"/>
  <c r="T77" i="57"/>
  <c r="P65" i="57"/>
  <c r="X82" i="57"/>
  <c r="Q53" i="57"/>
  <c r="S23" i="57"/>
  <c r="U18" i="57"/>
  <c r="Q60" i="57"/>
  <c r="U77" i="57"/>
  <c r="N50" i="57"/>
  <c r="O100" i="57"/>
  <c r="Q88" i="57"/>
  <c r="V29" i="57"/>
  <c r="T36" i="57"/>
  <c r="Q36" i="57"/>
  <c r="Q66" i="57"/>
  <c r="W19" i="57"/>
  <c r="Q30" i="57"/>
  <c r="S26" i="57"/>
  <c r="R35" i="57"/>
  <c r="P83" i="57"/>
  <c r="X56" i="57"/>
  <c r="U58" i="57"/>
  <c r="R15" i="57"/>
  <c r="N34" i="57"/>
  <c r="N24" i="57"/>
  <c r="P53" i="57"/>
  <c r="P59" i="57"/>
  <c r="S75" i="57"/>
  <c r="U63" i="57"/>
  <c r="R80" i="57"/>
  <c r="X90" i="57"/>
  <c r="W69" i="57"/>
  <c r="O24" i="57"/>
  <c r="O32" i="57"/>
  <c r="N85" i="57"/>
  <c r="T24" i="57"/>
  <c r="X55" i="57"/>
  <c r="Q79" i="57"/>
  <c r="U41" i="57"/>
  <c r="P63" i="57"/>
  <c r="R86" i="57"/>
  <c r="X52" i="57"/>
  <c r="O38" i="57"/>
  <c r="N86" i="57"/>
  <c r="N20" i="57"/>
  <c r="V75" i="57"/>
  <c r="S102" i="57"/>
  <c r="Q67" i="57"/>
  <c r="S43" i="57"/>
  <c r="T15" i="57"/>
  <c r="R82" i="57"/>
  <c r="Q41" i="57"/>
  <c r="O64" i="57"/>
  <c r="O23" i="57"/>
  <c r="O16" i="57"/>
  <c r="X44" i="57"/>
  <c r="U44" i="57"/>
  <c r="X19" i="57"/>
  <c r="P32" i="57"/>
  <c r="V47" i="57"/>
  <c r="U15" i="57"/>
  <c r="U51" i="57"/>
  <c r="O46" i="57"/>
  <c r="H48" i="59" s="1"/>
  <c r="N82" i="57"/>
  <c r="O90" i="57"/>
  <c r="U26" i="57"/>
  <c r="X74" i="57"/>
  <c r="S46" i="57"/>
  <c r="V60" i="57"/>
  <c r="R20" i="57"/>
  <c r="Q44" i="57"/>
  <c r="P62" i="57"/>
  <c r="R76" i="57"/>
  <c r="O75" i="57"/>
  <c r="N30" i="57"/>
  <c r="W58" i="57"/>
  <c r="U19" i="57"/>
  <c r="X14" i="57"/>
  <c r="X45" i="57"/>
  <c r="T27" i="57"/>
  <c r="P41" i="57"/>
  <c r="U59" i="57"/>
  <c r="N48" i="57"/>
  <c r="N64" i="57"/>
  <c r="W45" i="57"/>
  <c r="S37" i="57"/>
  <c r="X75" i="57"/>
  <c r="Q74" i="57"/>
  <c r="R24" i="57"/>
  <c r="U17" i="57"/>
  <c r="Q28" i="57"/>
  <c r="W14" i="57"/>
  <c r="O34" i="57"/>
  <c r="N76" i="57"/>
  <c r="T43" i="57"/>
  <c r="W62" i="57"/>
  <c r="X48" i="57"/>
  <c r="T61" i="57"/>
  <c r="U67" i="57"/>
  <c r="S49" i="57"/>
  <c r="U14" i="57"/>
  <c r="S74" i="57"/>
  <c r="Q81" i="57"/>
  <c r="T89" i="57"/>
  <c r="V59" i="57"/>
  <c r="Q84" i="57"/>
  <c r="S19" i="57"/>
  <c r="U68" i="57"/>
  <c r="P100" i="57"/>
  <c r="X43" i="57"/>
  <c r="N56" i="57"/>
  <c r="S84" i="57"/>
  <c r="P27" i="57"/>
  <c r="S29" i="57"/>
  <c r="U65" i="57"/>
  <c r="R29" i="57"/>
  <c r="W16" i="57"/>
  <c r="W65" i="57"/>
  <c r="V78" i="57"/>
  <c r="S71" i="57"/>
  <c r="P71" i="57"/>
  <c r="P15" i="57"/>
  <c r="W17" i="57"/>
  <c r="T14" i="57"/>
  <c r="R62" i="57"/>
  <c r="R17" i="57"/>
  <c r="S57" i="57"/>
  <c r="P88" i="57"/>
  <c r="U52" i="57"/>
  <c r="P84" i="57"/>
  <c r="X88" i="57"/>
  <c r="V88" i="57"/>
  <c r="X28" i="57"/>
  <c r="T82" i="57"/>
  <c r="X49" i="57"/>
  <c r="U79" i="57"/>
  <c r="V62" i="57"/>
  <c r="S80" i="57"/>
  <c r="W52" i="57"/>
  <c r="P14" i="57"/>
  <c r="Q47" i="57"/>
  <c r="R79" i="57"/>
  <c r="X100" i="57"/>
  <c r="W74" i="57"/>
  <c r="P68" i="57"/>
  <c r="Q51" i="57"/>
  <c r="T80" i="57"/>
  <c r="X35" i="57"/>
  <c r="U38" i="57"/>
  <c r="R102" i="57"/>
  <c r="Q78" i="57"/>
  <c r="T17" i="57"/>
  <c r="T34" i="57"/>
  <c r="Q19" i="57"/>
  <c r="T64" i="57"/>
  <c r="T45" i="57"/>
  <c r="Q18" i="57"/>
  <c r="X51" i="57"/>
  <c r="Q56" i="57"/>
  <c r="S47" i="57"/>
  <c r="P101" i="57"/>
  <c r="V85" i="57"/>
  <c r="S59" i="57"/>
  <c r="W102" i="57"/>
  <c r="X61" i="57"/>
  <c r="X40" i="57"/>
  <c r="P26" i="57"/>
  <c r="U30" i="57"/>
  <c r="P19" i="57"/>
  <c r="O50" i="57"/>
  <c r="T41" i="57"/>
  <c r="S41" i="57"/>
  <c r="U56" i="57"/>
  <c r="U100" i="57"/>
  <c r="V49" i="57"/>
  <c r="W75" i="57"/>
  <c r="V15" i="57"/>
  <c r="V27" i="57"/>
  <c r="X81" i="57"/>
  <c r="U49" i="57"/>
  <c r="Q20" i="57"/>
  <c r="W37" i="57"/>
  <c r="P72" i="57"/>
  <c r="U12" i="57"/>
  <c r="V73" i="57"/>
  <c r="W32" i="57"/>
  <c r="O54" i="57"/>
  <c r="V41" i="57"/>
  <c r="N28" i="57"/>
  <c r="V21" i="57"/>
  <c r="R45" i="57"/>
  <c r="W12" i="57"/>
  <c r="R75" i="57"/>
  <c r="P67" i="57"/>
  <c r="Q54" i="57"/>
  <c r="W21" i="57"/>
  <c r="R90" i="57"/>
  <c r="P87" i="57"/>
  <c r="R67" i="57"/>
  <c r="O102" i="57"/>
  <c r="H95" i="59" s="1"/>
  <c r="Q87" i="57"/>
  <c r="V65" i="57"/>
  <c r="V72" i="57"/>
  <c r="U48" i="57"/>
  <c r="R72" i="57"/>
  <c r="U45" i="57"/>
  <c r="R28" i="57"/>
  <c r="R66" i="57"/>
  <c r="W79" i="57"/>
  <c r="T12" i="57"/>
  <c r="S54" i="57"/>
  <c r="U20" i="57"/>
  <c r="R78" i="57"/>
  <c r="P90" i="57"/>
  <c r="V26" i="57"/>
  <c r="W18" i="57"/>
  <c r="S85" i="57"/>
  <c r="R100" i="57"/>
  <c r="S82" i="57"/>
  <c r="Q34" i="57"/>
  <c r="T90" i="57"/>
  <c r="W61" i="57"/>
  <c r="P16" i="57"/>
  <c r="V30" i="57"/>
  <c r="S81" i="57"/>
  <c r="T16" i="57"/>
  <c r="U102" i="57"/>
  <c r="V81" i="57"/>
  <c r="Q24" i="57"/>
  <c r="V39" i="57"/>
  <c r="R74" i="57"/>
  <c r="P20" i="57"/>
  <c r="R70" i="57"/>
  <c r="X22" i="57"/>
  <c r="U70" i="57"/>
  <c r="X59" i="57"/>
  <c r="V20" i="57"/>
  <c r="X76" i="57"/>
  <c r="N100" i="57"/>
  <c r="W57" i="57"/>
  <c r="O88" i="57"/>
  <c r="T53" i="57"/>
  <c r="Q57" i="57"/>
  <c r="R37" i="57"/>
  <c r="U62" i="57"/>
  <c r="R22" i="57"/>
  <c r="W43" i="57"/>
  <c r="O28" i="57"/>
  <c r="H30" i="59" s="1"/>
  <c r="X57" i="57"/>
  <c r="W81" i="57"/>
  <c r="P82" i="57"/>
  <c r="P58" i="57"/>
  <c r="T18" i="57"/>
  <c r="R49" i="57"/>
  <c r="Q38" i="57"/>
  <c r="X78" i="57"/>
  <c r="W40" i="57"/>
  <c r="Q102" i="57"/>
  <c r="V66" i="57"/>
  <c r="X21" i="57"/>
  <c r="S67" i="57"/>
  <c r="X24" i="57"/>
  <c r="X101" i="57"/>
  <c r="R60" i="57"/>
  <c r="X26" i="57"/>
  <c r="T67" i="57"/>
  <c r="O36" i="57"/>
  <c r="W22" i="57"/>
  <c r="X67" i="57"/>
  <c r="U39" i="57"/>
  <c r="U90" i="57"/>
  <c r="V17" i="57"/>
  <c r="R56" i="57"/>
  <c r="U43" i="57"/>
  <c r="V22" i="57"/>
  <c r="S18" i="57"/>
  <c r="W80" i="57"/>
  <c r="S88" i="57"/>
  <c r="X39" i="57"/>
  <c r="V36" i="57"/>
  <c r="T68" i="57"/>
  <c r="R19" i="57"/>
  <c r="T22" i="57"/>
  <c r="U35" i="57"/>
  <c r="T35" i="57"/>
  <c r="S39" i="57"/>
  <c r="X47" i="57"/>
  <c r="O59" i="57"/>
  <c r="S30" i="57"/>
  <c r="O76" i="57"/>
  <c r="W49" i="57"/>
  <c r="R26" i="57"/>
  <c r="W47" i="57"/>
  <c r="W73" i="57"/>
  <c r="T54" i="57"/>
  <c r="T59" i="57"/>
  <c r="U61" i="57"/>
  <c r="W59" i="57"/>
  <c r="T76" i="57"/>
  <c r="P35" i="57"/>
  <c r="S100" i="57"/>
  <c r="V38" i="57"/>
  <c r="W72" i="57"/>
  <c r="P64" i="57"/>
  <c r="V48" i="57"/>
  <c r="R27" i="57"/>
  <c r="T49" i="57"/>
  <c r="P54" i="57"/>
  <c r="R51" i="57"/>
  <c r="R50" i="57"/>
  <c r="T30" i="57"/>
  <c r="U32" i="57"/>
  <c r="U55" i="57"/>
  <c r="T62" i="57"/>
  <c r="U87" i="57"/>
  <c r="Q58" i="57"/>
  <c r="W28" i="57"/>
  <c r="W41" i="57"/>
  <c r="Q21" i="57"/>
  <c r="V46" i="57"/>
  <c r="V90" i="57"/>
  <c r="V54" i="57"/>
  <c r="P102" i="57"/>
  <c r="X80" i="57"/>
  <c r="T55" i="57"/>
  <c r="S44" i="57"/>
  <c r="P52" i="57"/>
  <c r="X16" i="57"/>
  <c r="U50" i="57"/>
  <c r="P70" i="57"/>
  <c r="P21" i="57"/>
  <c r="S55" i="57"/>
  <c r="Q68" i="57"/>
  <c r="S61" i="57"/>
  <c r="P38" i="57"/>
  <c r="U29" i="57"/>
  <c r="P69" i="57"/>
  <c r="Q50" i="57"/>
  <c r="P75" i="57"/>
  <c r="P46" i="57"/>
  <c r="Q22" i="57"/>
  <c r="H48" i="60" l="1"/>
  <c r="G50" i="59"/>
  <c r="I38" i="60"/>
  <c r="O38" i="60" s="1"/>
  <c r="H40" i="59"/>
  <c r="H66" i="60"/>
  <c r="G68" i="59"/>
  <c r="G24" i="59"/>
  <c r="H22" i="60"/>
  <c r="R10" i="57"/>
  <c r="G67" i="59"/>
  <c r="H65" i="60"/>
  <c r="I74" i="60"/>
  <c r="H76" i="59"/>
  <c r="G65" i="59"/>
  <c r="H63" i="60"/>
  <c r="I81" i="60"/>
  <c r="H83" i="59"/>
  <c r="I32" i="60"/>
  <c r="O32" i="60" s="1"/>
  <c r="H34" i="59"/>
  <c r="I52" i="60"/>
  <c r="O52" i="60" s="1"/>
  <c r="H54" i="59"/>
  <c r="T10" i="57"/>
  <c r="H68" i="59"/>
  <c r="I66" i="60"/>
  <c r="H21" i="59"/>
  <c r="I19" i="60"/>
  <c r="O19" i="60" s="1"/>
  <c r="I101" i="60"/>
  <c r="H94" i="59"/>
  <c r="I100" i="60"/>
  <c r="H93" i="59"/>
  <c r="G89" i="59"/>
  <c r="H87" i="60"/>
  <c r="G91" i="59"/>
  <c r="H89" i="60"/>
  <c r="I78" i="60"/>
  <c r="H80" i="59"/>
  <c r="H83" i="60"/>
  <c r="G85" i="59"/>
  <c r="I76" i="60"/>
  <c r="H78" i="59"/>
  <c r="I50" i="60"/>
  <c r="O50" i="60" s="1"/>
  <c r="H52" i="59"/>
  <c r="S10" i="57"/>
  <c r="G49" i="59"/>
  <c r="H47" i="60"/>
  <c r="H85" i="60"/>
  <c r="G87" i="59"/>
  <c r="H45" i="60"/>
  <c r="G47" i="59"/>
  <c r="G56" i="59"/>
  <c r="H54" i="60"/>
  <c r="I75" i="60"/>
  <c r="H77" i="59"/>
  <c r="G60" i="59"/>
  <c r="H58" i="60"/>
  <c r="H44" i="60"/>
  <c r="G46" i="59"/>
  <c r="H38" i="59"/>
  <c r="I36" i="60"/>
  <c r="O36" i="60" s="1"/>
  <c r="I54" i="60"/>
  <c r="H56" i="59"/>
  <c r="H30" i="60"/>
  <c r="G32" i="59"/>
  <c r="H90" i="60"/>
  <c r="G92" i="59"/>
  <c r="H19" i="59"/>
  <c r="I17" i="60"/>
  <c r="O17" i="60" s="1"/>
  <c r="G77" i="59"/>
  <c r="H75" i="60"/>
  <c r="H84" i="59"/>
  <c r="I82" i="60"/>
  <c r="O10" i="57"/>
  <c r="H12" i="59" s="1"/>
  <c r="I11" i="60"/>
  <c r="H13" i="59"/>
  <c r="I88" i="60"/>
  <c r="H90" i="59"/>
  <c r="H92" i="59"/>
  <c r="I90" i="60"/>
  <c r="I24" i="60"/>
  <c r="O24" i="60" s="1"/>
  <c r="H26" i="59"/>
  <c r="G26" i="59"/>
  <c r="H24" i="60"/>
  <c r="H50" i="60"/>
  <c r="G52" i="59"/>
  <c r="I52" i="59" s="1"/>
  <c r="H15" i="60"/>
  <c r="G17" i="59"/>
  <c r="Q10" i="57"/>
  <c r="I41" i="60"/>
  <c r="O41" i="60" s="1"/>
  <c r="H43" i="59"/>
  <c r="H73" i="59"/>
  <c r="I71" i="60"/>
  <c r="G55" i="59"/>
  <c r="H53" i="60"/>
  <c r="H70" i="60"/>
  <c r="G72" i="59"/>
  <c r="H88" i="60"/>
  <c r="G90" i="59"/>
  <c r="I60" i="60"/>
  <c r="H62" i="59"/>
  <c r="H23" i="59"/>
  <c r="I21" i="60"/>
  <c r="O21" i="60" s="1"/>
  <c r="I57" i="60"/>
  <c r="H59" i="59"/>
  <c r="G20" i="59"/>
  <c r="H18" i="60"/>
  <c r="H32" i="59"/>
  <c r="I30" i="60"/>
  <c r="O30" i="60" s="1"/>
  <c r="G94" i="59"/>
  <c r="I94" i="59" s="1"/>
  <c r="H101" i="60"/>
  <c r="J101" i="60" s="1"/>
  <c r="I40" i="60"/>
  <c r="O40" i="60" s="1"/>
  <c r="H42" i="59"/>
  <c r="X10" i="57"/>
  <c r="I59" i="60"/>
  <c r="H61" i="59"/>
  <c r="H82" i="60"/>
  <c r="J82" i="60" s="1"/>
  <c r="G84" i="59"/>
  <c r="H34" i="60"/>
  <c r="G36" i="59"/>
  <c r="I77" i="60"/>
  <c r="H79" i="59"/>
  <c r="I55" i="60"/>
  <c r="H57" i="59"/>
  <c r="H72" i="60"/>
  <c r="G74" i="59"/>
  <c r="H89" i="59"/>
  <c r="I87" i="60"/>
  <c r="H78" i="60"/>
  <c r="G80" i="59"/>
  <c r="I80" i="59" s="1"/>
  <c r="H39" i="60"/>
  <c r="G41" i="59"/>
  <c r="G63" i="59"/>
  <c r="H61" i="60"/>
  <c r="H14" i="60"/>
  <c r="G16" i="59"/>
  <c r="H26" i="60"/>
  <c r="G28" i="59"/>
  <c r="H11" i="60"/>
  <c r="G13" i="59"/>
  <c r="I13" i="59" s="1"/>
  <c r="N10" i="57"/>
  <c r="G12" i="59" s="1"/>
  <c r="H37" i="59"/>
  <c r="I35" i="60"/>
  <c r="O35" i="60" s="1"/>
  <c r="G59" i="59"/>
  <c r="H57" i="60"/>
  <c r="G18" i="59"/>
  <c r="H16" i="60"/>
  <c r="H81" i="60"/>
  <c r="G83" i="59"/>
  <c r="I83" i="59" s="1"/>
  <c r="G73" i="59"/>
  <c r="H71" i="60"/>
  <c r="J71" i="60" s="1"/>
  <c r="H29" i="59"/>
  <c r="I27" i="60"/>
  <c r="O27" i="60" s="1"/>
  <c r="G37" i="59"/>
  <c r="H35" i="60"/>
  <c r="G79" i="59"/>
  <c r="H77" i="60"/>
  <c r="J77" i="60" s="1"/>
  <c r="H100" i="60"/>
  <c r="G93" i="59"/>
  <c r="H56" i="60"/>
  <c r="G58" i="59"/>
  <c r="H18" i="59"/>
  <c r="I16" i="60"/>
  <c r="O16" i="60" s="1"/>
  <c r="G70" i="59"/>
  <c r="H68" i="60"/>
  <c r="H82" i="59"/>
  <c r="I80" i="60"/>
  <c r="I43" i="60"/>
  <c r="O43" i="60" s="1"/>
  <c r="H45" i="59"/>
  <c r="I67" i="60"/>
  <c r="H69" i="59"/>
  <c r="H71" i="59"/>
  <c r="I69" i="60"/>
  <c r="H41" i="60"/>
  <c r="G43" i="59"/>
  <c r="I43" i="59" s="1"/>
  <c r="I62" i="60"/>
  <c r="H64" i="59"/>
  <c r="G21" i="59"/>
  <c r="H19" i="60"/>
  <c r="H29" i="60"/>
  <c r="G31" i="59"/>
  <c r="I48" i="60"/>
  <c r="O48" i="60" s="1"/>
  <c r="H50" i="59"/>
  <c r="G38" i="59"/>
  <c r="I38" i="59" s="1"/>
  <c r="H36" i="60"/>
  <c r="I68" i="60"/>
  <c r="H70" i="59"/>
  <c r="H69" i="60"/>
  <c r="G71" i="59"/>
  <c r="H58" i="59"/>
  <c r="I56" i="60"/>
  <c r="G53" i="59"/>
  <c r="H51" i="60"/>
  <c r="I18" i="60"/>
  <c r="O18" i="60" s="1"/>
  <c r="H20" i="59"/>
  <c r="I48" i="59"/>
  <c r="I72" i="60"/>
  <c r="H74" i="59"/>
  <c r="H91" i="59"/>
  <c r="I89" i="60"/>
  <c r="I70" i="60"/>
  <c r="H72" i="59"/>
  <c r="H43" i="60"/>
  <c r="G45" i="59"/>
  <c r="G78" i="59"/>
  <c r="H76" i="60"/>
  <c r="H25" i="59"/>
  <c r="I23" i="60"/>
  <c r="O23" i="60" s="1"/>
  <c r="H16" i="59"/>
  <c r="I14" i="60"/>
  <c r="O14" i="60" s="1"/>
  <c r="P10" i="57"/>
  <c r="H31" i="59"/>
  <c r="I29" i="60"/>
  <c r="O29" i="60" s="1"/>
  <c r="I12" i="60"/>
  <c r="O12" i="60" s="1"/>
  <c r="H14" i="59"/>
  <c r="H81" i="59"/>
  <c r="I79" i="60"/>
  <c r="H86" i="59"/>
  <c r="I84" i="60"/>
  <c r="G76" i="59"/>
  <c r="H74" i="60"/>
  <c r="J74" i="60" s="1"/>
  <c r="I47" i="60"/>
  <c r="H49" i="59"/>
  <c r="H59" i="60"/>
  <c r="G61" i="59"/>
  <c r="U10" i="57"/>
  <c r="H28" i="59"/>
  <c r="I26" i="60"/>
  <c r="O26" i="60" s="1"/>
  <c r="G51" i="59"/>
  <c r="H49" i="60"/>
  <c r="H52" i="60"/>
  <c r="G54" i="59"/>
  <c r="H73" i="60"/>
  <c r="G75" i="59"/>
  <c r="H32" i="60"/>
  <c r="G34" i="59"/>
  <c r="G29" i="59"/>
  <c r="H27" i="60"/>
  <c r="H40" i="60"/>
  <c r="G42" i="59"/>
  <c r="I51" i="60"/>
  <c r="O51" i="60" s="1"/>
  <c r="H53" i="59"/>
  <c r="H28" i="60"/>
  <c r="G30" i="59"/>
  <c r="I30" i="59" s="1"/>
  <c r="H36" i="59"/>
  <c r="I34" i="60"/>
  <c r="O34" i="60" s="1"/>
  <c r="I64" i="60"/>
  <c r="H66" i="59"/>
  <c r="G22" i="59"/>
  <c r="H20" i="60"/>
  <c r="H39" i="59"/>
  <c r="I37" i="60"/>
  <c r="O37" i="60" s="1"/>
  <c r="I58" i="60"/>
  <c r="H60" i="59"/>
  <c r="H79" i="60"/>
  <c r="J79" i="60" s="1"/>
  <c r="G81" i="59"/>
  <c r="I81" i="59" s="1"/>
  <c r="H80" i="60"/>
  <c r="G82" i="59"/>
  <c r="I82" i="59" s="1"/>
  <c r="H63" i="59"/>
  <c r="I61" i="60"/>
  <c r="H24" i="59"/>
  <c r="I22" i="60"/>
  <c r="O22" i="60" s="1"/>
  <c r="H62" i="60"/>
  <c r="G64" i="59"/>
  <c r="G57" i="59"/>
  <c r="H55" i="60"/>
  <c r="H88" i="59"/>
  <c r="I86" i="60"/>
  <c r="I65" i="60"/>
  <c r="H67" i="59"/>
  <c r="H21" i="60"/>
  <c r="G23" i="59"/>
  <c r="I23" i="59" s="1"/>
  <c r="H17" i="60"/>
  <c r="G19" i="59"/>
  <c r="I19" i="59" s="1"/>
  <c r="H12" i="60"/>
  <c r="G14" i="59"/>
  <c r="I85" i="60"/>
  <c r="H87" i="59"/>
  <c r="H23" i="60"/>
  <c r="G25" i="59"/>
  <c r="H22" i="59"/>
  <c r="I20" i="60"/>
  <c r="O20" i="60" s="1"/>
  <c r="I49" i="60"/>
  <c r="O49" i="60" s="1"/>
  <c r="H51" i="59"/>
  <c r="H64" i="60"/>
  <c r="J64" i="60" s="1"/>
  <c r="G66" i="59"/>
  <c r="G88" i="59"/>
  <c r="H86" i="60"/>
  <c r="G62" i="59"/>
  <c r="H60" i="60"/>
  <c r="J60" i="60" s="1"/>
  <c r="H85" i="59"/>
  <c r="I83" i="60"/>
  <c r="H55" i="59"/>
  <c r="I53" i="60"/>
  <c r="O53" i="60" s="1"/>
  <c r="H37" i="60"/>
  <c r="G39" i="59"/>
  <c r="G69" i="59"/>
  <c r="H67" i="60"/>
  <c r="J67" i="60" s="1"/>
  <c r="H41" i="59"/>
  <c r="I39" i="60"/>
  <c r="O39" i="60" s="1"/>
  <c r="H46" i="59"/>
  <c r="I44" i="60"/>
  <c r="O44" i="60" s="1"/>
  <c r="I15" i="60"/>
  <c r="O15" i="60" s="1"/>
  <c r="H17" i="59"/>
  <c r="V10" i="57"/>
  <c r="H47" i="59"/>
  <c r="I45" i="60"/>
  <c r="O45" i="60" s="1"/>
  <c r="G40" i="59"/>
  <c r="I40" i="59" s="1"/>
  <c r="H38" i="60"/>
  <c r="W10" i="57"/>
  <c r="H84" i="60"/>
  <c r="J84" i="60" s="1"/>
  <c r="G86" i="59"/>
  <c r="I73" i="60"/>
  <c r="H75" i="59"/>
  <c r="H65" i="59"/>
  <c r="I63" i="60"/>
  <c r="I57" i="59" l="1"/>
  <c r="I61" i="59"/>
  <c r="J86" i="60"/>
  <c r="J75" i="60"/>
  <c r="I73" i="59"/>
  <c r="I71" i="59"/>
  <c r="I21" i="59"/>
  <c r="I64" i="59"/>
  <c r="I42" i="59"/>
  <c r="I54" i="59"/>
  <c r="I59" i="59"/>
  <c r="J76" i="60"/>
  <c r="I34" i="59"/>
  <c r="I76" i="59"/>
  <c r="I45" i="59"/>
  <c r="I16" i="59"/>
  <c r="I78" i="59"/>
  <c r="I12" i="59"/>
  <c r="I79" i="59"/>
  <c r="J81" i="60"/>
  <c r="I37" i="59"/>
  <c r="J88" i="60"/>
  <c r="J80" i="60"/>
  <c r="J78" i="60"/>
  <c r="J55" i="60"/>
  <c r="I69" i="59"/>
  <c r="I62" i="59"/>
  <c r="I86" i="59"/>
  <c r="I39" i="59"/>
  <c r="I25" i="59"/>
  <c r="J59" i="60"/>
  <c r="I53" i="59"/>
  <c r="J56" i="60"/>
  <c r="I36" i="59"/>
  <c r="J70" i="60"/>
  <c r="I60" i="59"/>
  <c r="J85" i="60"/>
  <c r="I85" i="59"/>
  <c r="I65" i="59"/>
  <c r="I68" i="59"/>
  <c r="I88" i="59"/>
  <c r="I14" i="59"/>
  <c r="I90" i="59"/>
  <c r="I31" i="59"/>
  <c r="N30" i="60"/>
  <c r="J30" i="60"/>
  <c r="P30" i="60" s="1"/>
  <c r="J20" i="60"/>
  <c r="P20" i="60" s="1"/>
  <c r="N20" i="60"/>
  <c r="I75" i="59"/>
  <c r="I18" i="59"/>
  <c r="I20" i="59"/>
  <c r="J90" i="60"/>
  <c r="J44" i="60"/>
  <c r="P44" i="60" s="1"/>
  <c r="N44" i="60"/>
  <c r="N45" i="60"/>
  <c r="J45" i="60"/>
  <c r="P45" i="60" s="1"/>
  <c r="J87" i="60"/>
  <c r="N22" i="60"/>
  <c r="J22" i="60"/>
  <c r="P22" i="60" s="1"/>
  <c r="J17" i="60"/>
  <c r="P17" i="60" s="1"/>
  <c r="N17" i="60"/>
  <c r="I22" i="59"/>
  <c r="J73" i="60"/>
  <c r="J51" i="60"/>
  <c r="P51" i="60" s="1"/>
  <c r="N51" i="60"/>
  <c r="N36" i="60"/>
  <c r="J36" i="60"/>
  <c r="P36" i="60" s="1"/>
  <c r="I58" i="59"/>
  <c r="J57" i="60"/>
  <c r="J26" i="60"/>
  <c r="P26" i="60" s="1"/>
  <c r="N26" i="60"/>
  <c r="I72" i="59"/>
  <c r="I32" i="59"/>
  <c r="J58" i="60"/>
  <c r="I87" i="59"/>
  <c r="I89" i="59"/>
  <c r="J63" i="60"/>
  <c r="I24" i="59"/>
  <c r="N37" i="60"/>
  <c r="J37" i="60"/>
  <c r="P37" i="60" s="1"/>
  <c r="J23" i="60"/>
  <c r="P23" i="60" s="1"/>
  <c r="N23" i="60"/>
  <c r="J21" i="60"/>
  <c r="P21" i="60" s="1"/>
  <c r="N21" i="60"/>
  <c r="J62" i="60"/>
  <c r="J40" i="60"/>
  <c r="P40" i="60" s="1"/>
  <c r="N40" i="60"/>
  <c r="J52" i="60"/>
  <c r="P52" i="60" s="1"/>
  <c r="N52" i="60"/>
  <c r="I93" i="59"/>
  <c r="J14" i="60"/>
  <c r="P14" i="60" s="1"/>
  <c r="N14" i="60"/>
  <c r="J34" i="60"/>
  <c r="P34" i="60" s="1"/>
  <c r="N34" i="60"/>
  <c r="J53" i="60"/>
  <c r="P53" i="60" s="1"/>
  <c r="N53" i="60"/>
  <c r="J15" i="60"/>
  <c r="P15" i="60" s="1"/>
  <c r="N15" i="60"/>
  <c r="J47" i="60"/>
  <c r="N47" i="60"/>
  <c r="J83" i="60"/>
  <c r="O100" i="60"/>
  <c r="J66" i="60"/>
  <c r="I66" i="59"/>
  <c r="N27" i="60"/>
  <c r="J27" i="60"/>
  <c r="P27" i="60" s="1"/>
  <c r="J49" i="60"/>
  <c r="P49" i="60" s="1"/>
  <c r="N49" i="60"/>
  <c r="I46" i="60"/>
  <c r="O47" i="60"/>
  <c r="J41" i="60"/>
  <c r="P41" i="60" s="1"/>
  <c r="N41" i="60"/>
  <c r="N100" i="60"/>
  <c r="J100" i="60"/>
  <c r="P100" i="60" s="1"/>
  <c r="J61" i="60"/>
  <c r="I74" i="59"/>
  <c r="I84" i="59"/>
  <c r="I55" i="59"/>
  <c r="I77" i="59"/>
  <c r="I49" i="59"/>
  <c r="J38" i="60"/>
  <c r="P38" i="60" s="1"/>
  <c r="N38" i="60"/>
  <c r="I29" i="59"/>
  <c r="I51" i="59"/>
  <c r="J68" i="60"/>
  <c r="I63" i="59"/>
  <c r="J72" i="60"/>
  <c r="N50" i="60"/>
  <c r="J50" i="60"/>
  <c r="P50" i="60" s="1"/>
  <c r="J54" i="60"/>
  <c r="J65" i="60"/>
  <c r="J69" i="60"/>
  <c r="J29" i="60"/>
  <c r="P29" i="60" s="1"/>
  <c r="N29" i="60"/>
  <c r="I70" i="59"/>
  <c r="I41" i="59"/>
  <c r="J24" i="60"/>
  <c r="P24" i="60" s="1"/>
  <c r="N24" i="60"/>
  <c r="I56" i="59"/>
  <c r="J89" i="60"/>
  <c r="I67" i="59"/>
  <c r="I50" i="59"/>
  <c r="I17" i="59"/>
  <c r="N12" i="60"/>
  <c r="J12" i="60"/>
  <c r="P12" i="60" s="1"/>
  <c r="J28" i="60"/>
  <c r="P28" i="60" s="1"/>
  <c r="N28" i="60"/>
  <c r="J32" i="60"/>
  <c r="P32" i="60" s="1"/>
  <c r="N32" i="60"/>
  <c r="N43" i="60"/>
  <c r="J43" i="60"/>
  <c r="P43" i="60" s="1"/>
  <c r="N19" i="60"/>
  <c r="J19" i="60"/>
  <c r="P19" i="60" s="1"/>
  <c r="J35" i="60"/>
  <c r="P35" i="60" s="1"/>
  <c r="N35" i="60"/>
  <c r="N16" i="60"/>
  <c r="J16" i="60"/>
  <c r="P16" i="60" s="1"/>
  <c r="N11" i="60"/>
  <c r="J11" i="60"/>
  <c r="J39" i="60"/>
  <c r="P39" i="60" s="1"/>
  <c r="N39" i="60"/>
  <c r="N18" i="60"/>
  <c r="J18" i="60"/>
  <c r="P18" i="60" s="1"/>
  <c r="I26" i="59"/>
  <c r="I10" i="60"/>
  <c r="O11" i="60"/>
  <c r="I92" i="59"/>
  <c r="I46" i="59"/>
  <c r="I47" i="59"/>
  <c r="I91" i="59"/>
  <c r="N48" i="60"/>
  <c r="J48" i="60"/>
  <c r="P48" i="60" s="1"/>
  <c r="I102" i="60" l="1"/>
  <c r="O102" i="60" s="1"/>
  <c r="J46" i="60"/>
  <c r="P46" i="60" s="1"/>
  <c r="P47" i="60"/>
  <c r="J10" i="60"/>
  <c r="P10" i="60" s="1"/>
  <c r="P11" i="60"/>
  <c r="O10" i="60"/>
  <c r="O46" i="60"/>
  <c r="AF89" i="26"/>
  <c r="AF75" i="26"/>
  <c r="AF71" i="26"/>
  <c r="AF86" i="26"/>
  <c r="AF73" i="26"/>
  <c r="AF85" i="26"/>
  <c r="AF52" i="26"/>
  <c r="AF69" i="26"/>
  <c r="AF83" i="26"/>
  <c r="AF80" i="26"/>
  <c r="AF70" i="26"/>
  <c r="AF58" i="26"/>
  <c r="AF62" i="26"/>
  <c r="AF60" i="26"/>
  <c r="AF57" i="26"/>
  <c r="AF87" i="26"/>
  <c r="AF66" i="26"/>
  <c r="AF64" i="26"/>
  <c r="AF72" i="26"/>
  <c r="AF59" i="26"/>
  <c r="AF74" i="26"/>
  <c r="AF61" i="26"/>
  <c r="AF81" i="26"/>
  <c r="AF76" i="26"/>
  <c r="AF67" i="26"/>
  <c r="AF53" i="26"/>
  <c r="AF78" i="26"/>
  <c r="AF54" i="26"/>
  <c r="AF56" i="26"/>
  <c r="AF63" i="26"/>
  <c r="AF77" i="26"/>
  <c r="AF88" i="26"/>
  <c r="AF84" i="26"/>
  <c r="AF68" i="26"/>
  <c r="AF79" i="26"/>
  <c r="AF55" i="26"/>
  <c r="AF65" i="26"/>
  <c r="AF82" i="26"/>
  <c r="H46" i="60" l="1"/>
  <c r="N46" i="60" s="1"/>
  <c r="H10" i="60"/>
  <c r="N10" i="60" s="1"/>
  <c r="H102" i="60" l="1"/>
  <c r="J102" i="60" s="1"/>
  <c r="P102" i="60" s="1"/>
  <c r="N102" i="60" l="1"/>
  <c r="C5" i="61"/>
  <c r="H5" i="61" s="1"/>
  <c r="C6" i="61"/>
  <c r="H6" i="61" s="1"/>
  <c r="AF90" i="26"/>
  <c r="Y26" i="54" l="1"/>
  <c r="W26" i="54" s="1"/>
  <c r="O26" i="54" s="1"/>
  <c r="Y9" i="54"/>
  <c r="Y95" i="54"/>
  <c r="W95" i="54" s="1"/>
  <c r="O95" i="54" s="1"/>
  <c r="Y94" i="54"/>
  <c r="W94" i="54" s="1"/>
  <c r="O94" i="54" s="1"/>
  <c r="Y94" i="55"/>
  <c r="W94" i="55" s="1"/>
  <c r="O94" i="55" s="1"/>
  <c r="Y12" i="54"/>
  <c r="W12" i="54" s="1"/>
  <c r="O12" i="54" s="1"/>
  <c r="Y97" i="54"/>
  <c r="W97" i="54" s="1"/>
  <c r="O97" i="54" s="1"/>
  <c r="Y93" i="55"/>
  <c r="W93" i="55" s="1"/>
  <c r="O93" i="55" s="1"/>
  <c r="Y90" i="54"/>
  <c r="Y91" i="54"/>
  <c r="W91" i="54" s="1"/>
  <c r="O91" i="54" s="1"/>
  <c r="Y47" i="54"/>
  <c r="W47" i="54" s="1"/>
  <c r="O47" i="54" s="1"/>
  <c r="Y50" i="54"/>
  <c r="W50" i="54" s="1"/>
  <c r="O50" i="54" s="1"/>
  <c r="Y93" i="54"/>
  <c r="W93" i="54" s="1"/>
  <c r="O93" i="54" s="1"/>
  <c r="Y97" i="55"/>
  <c r="W97" i="55" s="1"/>
  <c r="O97" i="55" s="1"/>
  <c r="Y32" i="54"/>
  <c r="W32" i="54" s="1"/>
  <c r="O32" i="54" s="1"/>
  <c r="Y24" i="54"/>
  <c r="W24" i="54" s="1"/>
  <c r="O24" i="54" s="1"/>
  <c r="Y27" i="54"/>
  <c r="W27" i="54" s="1"/>
  <c r="O27" i="54" s="1"/>
  <c r="Y92" i="55"/>
  <c r="W92" i="55" s="1"/>
  <c r="O92" i="55" s="1"/>
  <c r="Y41" i="54"/>
  <c r="W41" i="54" s="1"/>
  <c r="O41" i="54" s="1"/>
  <c r="Y90" i="55"/>
  <c r="Y33" i="54"/>
  <c r="W33" i="54" s="1"/>
  <c r="O33" i="54" s="1"/>
  <c r="Y13" i="54"/>
  <c r="W13" i="54" s="1"/>
  <c r="O13" i="54" s="1"/>
  <c r="Y49" i="54"/>
  <c r="W49" i="54" s="1"/>
  <c r="O49" i="54" s="1"/>
  <c r="Y30" i="54"/>
  <c r="W30" i="54" s="1"/>
  <c r="O30" i="54" s="1"/>
  <c r="Y46" i="54"/>
  <c r="W46" i="54" s="1"/>
  <c r="O46" i="54" s="1"/>
  <c r="Y98" i="54"/>
  <c r="W98" i="54" s="1"/>
  <c r="Y95" i="55"/>
  <c r="W95" i="55" s="1"/>
  <c r="O95" i="55" s="1"/>
  <c r="Y51" i="54"/>
  <c r="W51" i="54" s="1"/>
  <c r="O51" i="54" s="1"/>
  <c r="Y48" i="54"/>
  <c r="W48" i="54" s="1"/>
  <c r="O48" i="54" s="1"/>
  <c r="Y91" i="55"/>
  <c r="W91" i="55" s="1"/>
  <c r="O91" i="55" s="1"/>
  <c r="Y22" i="54"/>
  <c r="W22" i="54" s="1"/>
  <c r="O22" i="54" s="1"/>
  <c r="Y96" i="54"/>
  <c r="W96" i="54" s="1"/>
  <c r="O96" i="54" s="1"/>
  <c r="Y96" i="55"/>
  <c r="W96" i="55" s="1"/>
  <c r="O96" i="55" s="1"/>
  <c r="Y92" i="54"/>
  <c r="W92" i="54" s="1"/>
  <c r="O92" i="54" s="1"/>
  <c r="Y45" i="54"/>
  <c r="Y43" i="55"/>
  <c r="W43" i="55" s="1"/>
  <c r="O43" i="55" s="1"/>
  <c r="N47" i="54" l="1"/>
  <c r="L47" i="54" s="1"/>
  <c r="D47" i="54" s="1"/>
  <c r="N96" i="54"/>
  <c r="L96" i="54" s="1"/>
  <c r="D96" i="54" s="1"/>
  <c r="N96" i="55"/>
  <c r="N45" i="54"/>
  <c r="N92" i="55"/>
  <c r="N97" i="55"/>
  <c r="N97" i="54"/>
  <c r="L97" i="54" s="1"/>
  <c r="D97" i="54" s="1"/>
  <c r="N30" i="54"/>
  <c r="L30" i="54" s="1"/>
  <c r="D30" i="54" s="1"/>
  <c r="N13" i="54"/>
  <c r="L13" i="54" s="1"/>
  <c r="D13" i="54" s="1"/>
  <c r="N41" i="54"/>
  <c r="L41" i="54" s="1"/>
  <c r="D41" i="54" s="1"/>
  <c r="N93" i="55"/>
  <c r="N94" i="55"/>
  <c r="N9" i="54"/>
  <c r="N94" i="54"/>
  <c r="L94" i="54" s="1"/>
  <c r="D94" i="54" s="1"/>
  <c r="N51" i="54"/>
  <c r="L51" i="54" s="1"/>
  <c r="D51" i="54" s="1"/>
  <c r="N26" i="54"/>
  <c r="L26" i="54" s="1"/>
  <c r="D26" i="54" s="1"/>
  <c r="N50" i="54"/>
  <c r="L50" i="54" s="1"/>
  <c r="D50" i="54" s="1"/>
  <c r="N95" i="54"/>
  <c r="L95" i="54" s="1"/>
  <c r="D95" i="54" s="1"/>
  <c r="N22" i="54"/>
  <c r="L22" i="54" s="1"/>
  <c r="D22" i="54" s="1"/>
  <c r="N33" i="54"/>
  <c r="L33" i="54" s="1"/>
  <c r="D33" i="54" s="1"/>
  <c r="N91" i="55"/>
  <c r="N49" i="54"/>
  <c r="L49" i="54" s="1"/>
  <c r="D49" i="54" s="1"/>
  <c r="N91" i="54"/>
  <c r="L91" i="54" s="1"/>
  <c r="D91" i="54" s="1"/>
  <c r="N90" i="55"/>
  <c r="N93" i="54"/>
  <c r="L93" i="54" s="1"/>
  <c r="D93" i="54" s="1"/>
  <c r="N43" i="54"/>
  <c r="L43" i="54" s="1"/>
  <c r="D43" i="54" s="1"/>
  <c r="N12" i="54"/>
  <c r="L12" i="54" s="1"/>
  <c r="D12" i="54" s="1"/>
  <c r="N32" i="54"/>
  <c r="L32" i="54" s="1"/>
  <c r="D32" i="54" s="1"/>
  <c r="N27" i="54"/>
  <c r="L27" i="54" s="1"/>
  <c r="D27" i="54" s="1"/>
  <c r="N95" i="55"/>
  <c r="N46" i="54"/>
  <c r="L46" i="54" s="1"/>
  <c r="D46" i="54" s="1"/>
  <c r="N24" i="54"/>
  <c r="L24" i="54" s="1"/>
  <c r="D24" i="54" s="1"/>
  <c r="N98" i="54"/>
  <c r="N48" i="54"/>
  <c r="L48" i="54" s="1"/>
  <c r="D48" i="54" s="1"/>
  <c r="N92" i="54"/>
  <c r="L92" i="54" s="1"/>
  <c r="D92" i="54" s="1"/>
  <c r="N90" i="54"/>
  <c r="W90" i="55"/>
  <c r="Y89" i="55"/>
  <c r="Y44" i="54"/>
  <c r="Y99" i="54" s="1"/>
  <c r="W45" i="54"/>
  <c r="Y8" i="54"/>
  <c r="Y100" i="54" s="1"/>
  <c r="W9" i="54"/>
  <c r="O98" i="54"/>
  <c r="Y89" i="54"/>
  <c r="W90" i="54"/>
  <c r="N89" i="55" l="1"/>
  <c r="L90" i="55"/>
  <c r="O45" i="54"/>
  <c r="W44" i="54"/>
  <c r="L95" i="55"/>
  <c r="L97" i="55"/>
  <c r="N50" i="55"/>
  <c r="N41" i="55"/>
  <c r="N33" i="55"/>
  <c r="N49" i="55"/>
  <c r="N22" i="55"/>
  <c r="N24" i="55"/>
  <c r="M24" i="55"/>
  <c r="N46" i="55"/>
  <c r="N32" i="55"/>
  <c r="N27" i="55"/>
  <c r="N12" i="55"/>
  <c r="N45" i="55"/>
  <c r="N48" i="55"/>
  <c r="N98" i="55"/>
  <c r="N13" i="55"/>
  <c r="N47" i="55"/>
  <c r="N9" i="55"/>
  <c r="N51" i="55"/>
  <c r="N26" i="55"/>
  <c r="N30" i="55"/>
  <c r="M22" i="55"/>
  <c r="N43" i="55"/>
  <c r="O90" i="54"/>
  <c r="O89" i="54" s="1"/>
  <c r="W89" i="54"/>
  <c r="W89" i="55"/>
  <c r="O90" i="55"/>
  <c r="O89" i="55" s="1"/>
  <c r="L91" i="55"/>
  <c r="L9" i="54"/>
  <c r="N8" i="54"/>
  <c r="L92" i="55"/>
  <c r="N89" i="54"/>
  <c r="L90" i="54"/>
  <c r="L94" i="55"/>
  <c r="N44" i="54"/>
  <c r="N99" i="54" s="1"/>
  <c r="L45" i="54"/>
  <c r="Y46" i="55"/>
  <c r="W46" i="55" s="1"/>
  <c r="O46" i="55" s="1"/>
  <c r="Y24" i="55"/>
  <c r="W24" i="55" s="1"/>
  <c r="O24" i="55" s="1"/>
  <c r="Y41" i="55"/>
  <c r="W41" i="55" s="1"/>
  <c r="O41" i="55" s="1"/>
  <c r="Y26" i="55"/>
  <c r="W26" i="55" s="1"/>
  <c r="O26" i="55" s="1"/>
  <c r="Y9" i="55"/>
  <c r="Y49" i="55"/>
  <c r="W49" i="55" s="1"/>
  <c r="O49" i="55" s="1"/>
  <c r="Y45" i="55"/>
  <c r="Y50" i="55"/>
  <c r="W50" i="55" s="1"/>
  <c r="O50" i="55" s="1"/>
  <c r="Y98" i="55"/>
  <c r="Y33" i="55"/>
  <c r="W33" i="55" s="1"/>
  <c r="O33" i="55" s="1"/>
  <c r="Y48" i="55"/>
  <c r="W48" i="55" s="1"/>
  <c r="O48" i="55" s="1"/>
  <c r="Y12" i="55"/>
  <c r="W12" i="55" s="1"/>
  <c r="O12" i="55" s="1"/>
  <c r="Y32" i="55"/>
  <c r="W32" i="55" s="1"/>
  <c r="O32" i="55" s="1"/>
  <c r="Y30" i="55"/>
  <c r="W30" i="55" s="1"/>
  <c r="O30" i="55" s="1"/>
  <c r="Y27" i="55"/>
  <c r="W27" i="55" s="1"/>
  <c r="O27" i="55" s="1"/>
  <c r="Y47" i="55"/>
  <c r="W47" i="55" s="1"/>
  <c r="O47" i="55" s="1"/>
  <c r="Y13" i="55"/>
  <c r="W13" i="55" s="1"/>
  <c r="O13" i="55" s="1"/>
  <c r="Y22" i="55"/>
  <c r="W22" i="55" s="1"/>
  <c r="O22" i="55" s="1"/>
  <c r="Y51" i="55"/>
  <c r="W51" i="55" s="1"/>
  <c r="O51" i="55" s="1"/>
  <c r="L93" i="55"/>
  <c r="L96" i="55"/>
  <c r="W8" i="54"/>
  <c r="O8" i="54" s="1"/>
  <c r="O9" i="54"/>
  <c r="L98" i="54"/>
  <c r="W98" i="55" l="1"/>
  <c r="D92" i="55"/>
  <c r="L13" i="55"/>
  <c r="L24" i="55"/>
  <c r="D97" i="55"/>
  <c r="D45" i="54"/>
  <c r="L44" i="54"/>
  <c r="L43" i="55"/>
  <c r="L98" i="55"/>
  <c r="W45" i="55"/>
  <c r="Y44" i="55"/>
  <c r="Y99" i="55" s="1"/>
  <c r="L8" i="54"/>
  <c r="D8" i="54" s="1"/>
  <c r="D9" i="54"/>
  <c r="M8" i="55"/>
  <c r="M100" i="55" s="1"/>
  <c r="M107" i="55"/>
  <c r="M99" i="55"/>
  <c r="L22" i="55"/>
  <c r="L48" i="55"/>
  <c r="D95" i="55"/>
  <c r="D96" i="55"/>
  <c r="L30" i="55"/>
  <c r="L45" i="55"/>
  <c r="N44" i="55"/>
  <c r="L49" i="55"/>
  <c r="O44" i="54"/>
  <c r="O99" i="54" s="1"/>
  <c r="W99" i="54"/>
  <c r="W100" i="54"/>
  <c r="O100" i="54" s="1"/>
  <c r="W9" i="55"/>
  <c r="Y8" i="55"/>
  <c r="D94" i="55"/>
  <c r="D91" i="55"/>
  <c r="L26" i="55"/>
  <c r="L12" i="55"/>
  <c r="L33" i="55"/>
  <c r="D93" i="55"/>
  <c r="D90" i="54"/>
  <c r="L89" i="54"/>
  <c r="D89" i="54" s="1"/>
  <c r="L51" i="55"/>
  <c r="L27" i="55"/>
  <c r="L41" i="55"/>
  <c r="N100" i="54"/>
  <c r="L9" i="55"/>
  <c r="N8" i="55"/>
  <c r="L32" i="55"/>
  <c r="L50" i="55"/>
  <c r="L89" i="55"/>
  <c r="D89" i="55" s="1"/>
  <c r="D90" i="55"/>
  <c r="D98" i="54"/>
  <c r="L47" i="55"/>
  <c r="L46" i="55"/>
  <c r="L100" i="54" l="1"/>
  <c r="D100" i="54" s="1"/>
  <c r="N100" i="55"/>
  <c r="D47" i="55"/>
  <c r="D49" i="55"/>
  <c r="D32" i="55"/>
  <c r="D27" i="55"/>
  <c r="D33" i="55"/>
  <c r="M103" i="55"/>
  <c r="D98" i="55"/>
  <c r="D24" i="55"/>
  <c r="N99" i="55"/>
  <c r="D51" i="55"/>
  <c r="D12" i="55"/>
  <c r="O9" i="55"/>
  <c r="W8" i="55"/>
  <c r="O8" i="55" s="1"/>
  <c r="L44" i="55"/>
  <c r="D45" i="55"/>
  <c r="D43" i="55"/>
  <c r="D13" i="55"/>
  <c r="L8" i="55"/>
  <c r="D8" i="55" s="1"/>
  <c r="D9" i="55"/>
  <c r="D48" i="55"/>
  <c r="L99" i="54"/>
  <c r="D44" i="54"/>
  <c r="D99" i="54" s="1"/>
  <c r="D26" i="55"/>
  <c r="D30" i="55"/>
  <c r="O45" i="55"/>
  <c r="W44" i="55"/>
  <c r="D46" i="55"/>
  <c r="D22" i="55"/>
  <c r="Y100" i="55"/>
  <c r="N103" i="55" s="1"/>
  <c r="D50" i="55"/>
  <c r="D41" i="55"/>
  <c r="M108" i="55"/>
  <c r="O98" i="55"/>
  <c r="O44" i="55" l="1"/>
  <c r="O99" i="55" s="1"/>
  <c r="W99" i="55"/>
  <c r="W100" i="55"/>
  <c r="O100" i="55" s="1"/>
  <c r="D44" i="55"/>
  <c r="L99" i="55"/>
  <c r="L100" i="55"/>
  <c r="D99" i="55" l="1"/>
  <c r="D100" i="55"/>
  <c r="K102" i="57" s="1"/>
  <c r="L103" i="55"/>
  <c r="E22" i="58" l="1"/>
  <c r="D17" i="58"/>
  <c r="D94" i="58"/>
  <c r="D51" i="58"/>
  <c r="D21" i="58"/>
  <c r="D27" i="58"/>
  <c r="E20" i="58"/>
  <c r="C37" i="58"/>
  <c r="E41" i="58"/>
  <c r="D16" i="58"/>
  <c r="D45" i="58"/>
  <c r="D12" i="58"/>
  <c r="C94" i="58"/>
  <c r="D47" i="58"/>
  <c r="C42" i="58"/>
  <c r="C40" i="58"/>
  <c r="D42" i="58"/>
  <c r="C31" i="58"/>
  <c r="C17" i="58"/>
  <c r="E18" i="58"/>
  <c r="C19" i="58"/>
  <c r="D33" i="58"/>
  <c r="E21" i="58"/>
  <c r="C13" i="58"/>
  <c r="D54" i="58"/>
  <c r="D25" i="58"/>
  <c r="D31" i="58"/>
  <c r="C20" i="58"/>
  <c r="E24" i="58"/>
  <c r="C22" i="58"/>
  <c r="C38" i="58"/>
  <c r="E37" i="58"/>
  <c r="D92" i="58"/>
  <c r="D15" i="58"/>
  <c r="D36" i="58"/>
  <c r="D24" i="58"/>
  <c r="D20" i="58"/>
  <c r="D13" i="58"/>
  <c r="E42" i="58"/>
  <c r="D103" i="55"/>
  <c r="C18" i="58"/>
  <c r="D41" i="58"/>
  <c r="D19" i="58"/>
  <c r="E23" i="58"/>
  <c r="C23" i="58"/>
  <c r="D44" i="58"/>
  <c r="C45" i="58"/>
  <c r="D48" i="58"/>
  <c r="C24" i="58"/>
  <c r="D37" i="58"/>
  <c r="D53" i="58"/>
  <c r="D30" i="58"/>
  <c r="D22" i="58"/>
  <c r="D18" i="58"/>
  <c r="E31" i="58"/>
  <c r="C41" i="58"/>
  <c r="E39" i="58"/>
  <c r="D40" i="58"/>
  <c r="E17" i="58"/>
  <c r="E19" i="58"/>
  <c r="C28" i="58"/>
  <c r="D49" i="58"/>
  <c r="E28" i="58"/>
  <c r="D35" i="58"/>
  <c r="C21" i="58"/>
  <c r="D52" i="58"/>
  <c r="D38" i="58"/>
  <c r="E45" i="58"/>
  <c r="E38" i="58"/>
  <c r="E40" i="58"/>
  <c r="D39" i="58"/>
  <c r="E13" i="58"/>
  <c r="C39" i="58"/>
  <c r="D50" i="58"/>
  <c r="D29" i="58"/>
  <c r="D46" i="58"/>
  <c r="D28" i="58"/>
  <c r="D23" i="58"/>
  <c r="G86" i="57"/>
  <c r="F94" i="57"/>
  <c r="F58" i="57"/>
  <c r="H38" i="57"/>
  <c r="J58" i="57"/>
  <c r="G102" i="57"/>
  <c r="M80" i="57"/>
  <c r="I32" i="57"/>
  <c r="G49" i="57"/>
  <c r="I65" i="57"/>
  <c r="G58" i="57"/>
  <c r="D99" i="57"/>
  <c r="E96" i="57"/>
  <c r="I23" i="57"/>
  <c r="G26" i="57"/>
  <c r="G52" i="57"/>
  <c r="D82" i="57"/>
  <c r="H101" i="57"/>
  <c r="K89" i="57"/>
  <c r="E69" i="57"/>
  <c r="I93" i="57"/>
  <c r="L41" i="57"/>
  <c r="E67" i="57"/>
  <c r="C85" i="57"/>
  <c r="C74" i="57"/>
  <c r="H88" i="57"/>
  <c r="F26" i="57"/>
  <c r="I16" i="57"/>
  <c r="K37" i="57"/>
  <c r="G21" i="57"/>
  <c r="E36" i="57"/>
  <c r="F71" i="57"/>
  <c r="J87" i="57"/>
  <c r="H68" i="57"/>
  <c r="M27" i="57"/>
  <c r="G22" i="57"/>
  <c r="E17" i="57"/>
  <c r="D61" i="57"/>
  <c r="F64" i="57"/>
  <c r="K27" i="57"/>
  <c r="E72" i="57"/>
  <c r="J12" i="57"/>
  <c r="L46" i="57"/>
  <c r="E81" i="57"/>
  <c r="C22" i="57"/>
  <c r="C88" i="57"/>
  <c r="D53" i="57"/>
  <c r="I73" i="57"/>
  <c r="L84" i="57"/>
  <c r="J73" i="57"/>
  <c r="K58" i="57"/>
  <c r="G100" i="57"/>
  <c r="M37" i="57"/>
  <c r="I26" i="57"/>
  <c r="I30" i="57"/>
  <c r="I47" i="57"/>
  <c r="G65" i="57"/>
  <c r="D98" i="57"/>
  <c r="D19" i="57"/>
  <c r="D11" i="57"/>
  <c r="J82" i="57"/>
  <c r="L20" i="57"/>
  <c r="I71" i="57"/>
  <c r="F63" i="57"/>
  <c r="E56" i="57"/>
  <c r="C76" i="57"/>
  <c r="I101" i="57"/>
  <c r="C79" i="57"/>
  <c r="K61" i="57"/>
  <c r="K69" i="57"/>
  <c r="K84" i="57"/>
  <c r="G62" i="57"/>
  <c r="J69" i="57"/>
  <c r="D43" i="57"/>
  <c r="H43" i="57"/>
  <c r="M87" i="57"/>
  <c r="G20" i="57"/>
  <c r="F100" i="57"/>
  <c r="E79" i="57"/>
  <c r="I97" i="57"/>
  <c r="I39" i="57"/>
  <c r="L100" i="57"/>
  <c r="J45" i="57"/>
  <c r="G57" i="57"/>
  <c r="H48" i="57"/>
  <c r="K12" i="57"/>
  <c r="J34" i="57"/>
  <c r="L50" i="57"/>
  <c r="G50" i="57"/>
  <c r="E86" i="57"/>
  <c r="G95" i="57"/>
  <c r="L85" i="57"/>
  <c r="F75" i="57"/>
  <c r="J64" i="57"/>
  <c r="C23" i="57"/>
  <c r="F68" i="57"/>
  <c r="H87" i="57"/>
  <c r="J15" i="57"/>
  <c r="I11" i="57"/>
  <c r="I45" i="57"/>
  <c r="C77" i="57"/>
  <c r="L94" i="57"/>
  <c r="E59" i="57"/>
  <c r="G41" i="57"/>
  <c r="I90" i="57"/>
  <c r="L99" i="57"/>
  <c r="J63" i="57"/>
  <c r="I40" i="57"/>
  <c r="E89" i="57"/>
  <c r="G39" i="57"/>
  <c r="E20" i="57"/>
  <c r="J102" i="57"/>
  <c r="I37" i="57"/>
  <c r="H44" i="57"/>
  <c r="G38" i="57"/>
  <c r="M17" i="57"/>
  <c r="J86" i="57"/>
  <c r="F36" i="57"/>
  <c r="H73" i="57"/>
  <c r="C65" i="57"/>
  <c r="C73" i="57"/>
  <c r="L66" i="57"/>
  <c r="E64" i="57"/>
  <c r="D88" i="57"/>
  <c r="C40" i="57"/>
  <c r="I19" i="57"/>
  <c r="I54" i="57"/>
  <c r="I63" i="57"/>
  <c r="H69" i="57"/>
  <c r="C56" i="57"/>
  <c r="E40" i="57"/>
  <c r="H53" i="57"/>
  <c r="C82" i="57"/>
  <c r="G83" i="57"/>
  <c r="F77" i="57"/>
  <c r="G87" i="57"/>
  <c r="M90" i="57"/>
  <c r="F101" i="57"/>
  <c r="J47" i="57"/>
  <c r="I79" i="57"/>
  <c r="I43" i="57"/>
  <c r="F62" i="57"/>
  <c r="I102" i="57"/>
  <c r="E24" i="57"/>
  <c r="G82" i="57"/>
  <c r="J51" i="57"/>
  <c r="I14" i="57"/>
  <c r="G40" i="57"/>
  <c r="L90" i="57"/>
  <c r="J36" i="57"/>
  <c r="K36" i="57"/>
  <c r="E53" i="57"/>
  <c r="F67" i="57"/>
  <c r="K57" i="57"/>
  <c r="D63" i="57"/>
  <c r="E18" i="57"/>
  <c r="G46" i="57"/>
  <c r="K21" i="57"/>
  <c r="D66" i="57"/>
  <c r="D39" i="57"/>
  <c r="G64" i="57"/>
  <c r="M69" i="57"/>
  <c r="F56" i="57"/>
  <c r="K56" i="57"/>
  <c r="H41" i="57"/>
  <c r="C69" i="57"/>
  <c r="F83" i="57"/>
  <c r="G90" i="57"/>
  <c r="E29" i="57"/>
  <c r="J27" i="57"/>
  <c r="I80" i="57"/>
  <c r="L74" i="57"/>
  <c r="D62" i="57"/>
  <c r="K70" i="57"/>
  <c r="H90" i="57"/>
  <c r="M70" i="57"/>
  <c r="K23" i="57"/>
  <c r="E26" i="57"/>
  <c r="C39" i="57"/>
  <c r="M63" i="57"/>
  <c r="L44" i="57"/>
  <c r="L16" i="57"/>
  <c r="K59" i="57"/>
  <c r="E76" i="57"/>
  <c r="I49" i="57"/>
  <c r="J50" i="57"/>
  <c r="I92" i="57"/>
  <c r="F59" i="57"/>
  <c r="E30" i="57"/>
  <c r="G93" i="57"/>
  <c r="F52" i="57"/>
  <c r="K40" i="57"/>
  <c r="K39" i="57"/>
  <c r="E62" i="57"/>
  <c r="D81" i="57"/>
  <c r="D70" i="57"/>
  <c r="L83" i="57"/>
  <c r="J26" i="57"/>
  <c r="G81" i="57"/>
  <c r="L28" i="57"/>
  <c r="L21" i="57"/>
  <c r="H56" i="57"/>
  <c r="G34" i="57"/>
  <c r="H40" i="57"/>
  <c r="L68" i="57"/>
  <c r="M30" i="57"/>
  <c r="F102" i="57"/>
  <c r="L80" i="57"/>
  <c r="H60" i="57"/>
  <c r="F41" i="57"/>
  <c r="D90" i="57"/>
  <c r="D34" i="57"/>
  <c r="F81" i="57"/>
  <c r="E15" i="57"/>
  <c r="M44" i="57"/>
  <c r="H96" i="57"/>
  <c r="J49" i="57"/>
  <c r="H94" i="57"/>
  <c r="I36" i="57"/>
  <c r="M68" i="57"/>
  <c r="E80" i="57"/>
  <c r="J53" i="57"/>
  <c r="G97" i="57"/>
  <c r="E21" i="57"/>
  <c r="M64" i="57"/>
  <c r="D65" i="57"/>
  <c r="J77" i="57"/>
  <c r="D27" i="57"/>
  <c r="F74" i="57"/>
  <c r="E73" i="57"/>
  <c r="F38" i="57"/>
  <c r="E22" i="57"/>
  <c r="L62" i="57"/>
  <c r="H72" i="57"/>
  <c r="H15" i="57"/>
  <c r="E88" i="57"/>
  <c r="G14" i="57"/>
  <c r="J19" i="57"/>
  <c r="C102" i="57"/>
  <c r="L56" i="57"/>
  <c r="E51" i="57"/>
  <c r="M16" i="57"/>
  <c r="J23" i="57"/>
  <c r="F99" i="57"/>
  <c r="M73" i="57"/>
  <c r="G67" i="57"/>
  <c r="M55" i="57"/>
  <c r="I99" i="57"/>
  <c r="G16" i="57"/>
  <c r="J52" i="57"/>
  <c r="L48" i="57"/>
  <c r="C27" i="57"/>
  <c r="G61" i="57"/>
  <c r="J22" i="57"/>
  <c r="C71" i="57"/>
  <c r="C21" i="57"/>
  <c r="C57" i="57"/>
  <c r="J56" i="57"/>
  <c r="J39" i="57"/>
  <c r="H35" i="57"/>
  <c r="H65" i="57"/>
  <c r="F48" i="57"/>
  <c r="K63" i="57"/>
  <c r="J76" i="57"/>
  <c r="L19" i="57"/>
  <c r="F89" i="57"/>
  <c r="L22" i="57"/>
  <c r="I68" i="57"/>
  <c r="H16" i="57"/>
  <c r="M65" i="57"/>
  <c r="K87" i="57"/>
  <c r="I86" i="57"/>
  <c r="G43" i="57"/>
  <c r="H23" i="57"/>
  <c r="F32" i="57"/>
  <c r="D71" i="57"/>
  <c r="L75" i="57"/>
  <c r="D59" i="57"/>
  <c r="E27" i="57"/>
  <c r="I24" i="57"/>
  <c r="F88" i="57"/>
  <c r="E28" i="57"/>
  <c r="H81" i="57"/>
  <c r="E16" i="57"/>
  <c r="F45" i="57"/>
  <c r="C61" i="57"/>
  <c r="D75" i="57"/>
  <c r="F30" i="57"/>
  <c r="D24" i="57"/>
  <c r="J81" i="57"/>
  <c r="G99" i="57"/>
  <c r="J44" i="57"/>
  <c r="K79" i="57"/>
  <c r="G19" i="57"/>
  <c r="L88" i="57"/>
  <c r="E32" i="57"/>
  <c r="I72" i="57"/>
  <c r="G59" i="57"/>
  <c r="L53" i="57"/>
  <c r="H64" i="57"/>
  <c r="E90" i="57"/>
  <c r="M72" i="57"/>
  <c r="D80" i="57"/>
  <c r="J67" i="57"/>
  <c r="J79" i="57"/>
  <c r="E11" i="57"/>
  <c r="L38" i="57"/>
  <c r="H98" i="57"/>
  <c r="H47" i="57"/>
  <c r="J28" i="57"/>
  <c r="D46" i="57"/>
  <c r="E48" i="59" s="1"/>
  <c r="M78" i="57"/>
  <c r="L18" i="57"/>
  <c r="F35" i="57"/>
  <c r="M38" i="57"/>
  <c r="G89" i="57"/>
  <c r="G29" i="57"/>
  <c r="K62" i="57"/>
  <c r="E84" i="57"/>
  <c r="I56" i="57"/>
  <c r="H78" i="57"/>
  <c r="C12" i="57"/>
  <c r="L95" i="57"/>
  <c r="G24" i="57"/>
  <c r="G48" i="57"/>
  <c r="E44" i="57"/>
  <c r="I77" i="57"/>
  <c r="I94" i="57"/>
  <c r="L57" i="57"/>
  <c r="I52" i="57"/>
  <c r="F97" i="57"/>
  <c r="D49" i="57"/>
  <c r="M71" i="57"/>
  <c r="K72" i="57"/>
  <c r="M40" i="57"/>
  <c r="L59" i="57"/>
  <c r="L37" i="57"/>
  <c r="F34" i="57"/>
  <c r="H24" i="57"/>
  <c r="F44" i="57"/>
  <c r="J32" i="57"/>
  <c r="G56" i="57"/>
  <c r="I27" i="57"/>
  <c r="L82" i="57"/>
  <c r="J90" i="57"/>
  <c r="E87" i="57"/>
  <c r="H58" i="57"/>
  <c r="G32" i="57"/>
  <c r="G23" i="57"/>
  <c r="F73" i="57"/>
  <c r="G60" i="57"/>
  <c r="D102" i="57"/>
  <c r="L86" i="57"/>
  <c r="D18" i="57"/>
  <c r="J61" i="57"/>
  <c r="J55" i="57"/>
  <c r="D40" i="57"/>
  <c r="M56" i="57"/>
  <c r="E93" i="57"/>
  <c r="E48" i="57"/>
  <c r="H75" i="57"/>
  <c r="L65" i="57"/>
  <c r="I44" i="57"/>
  <c r="D22" i="57"/>
  <c r="I85" i="57"/>
  <c r="E46" i="57"/>
  <c r="H49" i="57"/>
  <c r="D93" i="57"/>
  <c r="C30" i="57"/>
  <c r="E63" i="57"/>
  <c r="L98" i="57"/>
  <c r="H34" i="57"/>
  <c r="M85" i="57"/>
  <c r="E92" i="57"/>
  <c r="C90" i="57"/>
  <c r="M75" i="57"/>
  <c r="M67" i="57"/>
  <c r="F98" i="57"/>
  <c r="E39" i="57"/>
  <c r="J65" i="57"/>
  <c r="H84" i="57"/>
  <c r="M79" i="57"/>
  <c r="H55" i="57"/>
  <c r="M88" i="57"/>
  <c r="G30" i="57"/>
  <c r="I20" i="57"/>
  <c r="D28" i="57"/>
  <c r="L97" i="57"/>
  <c r="I74" i="57"/>
  <c r="K44" i="57"/>
  <c r="C58" i="57"/>
  <c r="I58" i="57"/>
  <c r="K75" i="57"/>
  <c r="I95" i="57"/>
  <c r="D68" i="57"/>
  <c r="G17" i="57"/>
  <c r="H36" i="57"/>
  <c r="D48" i="57"/>
  <c r="L58" i="57"/>
  <c r="J84" i="57"/>
  <c r="I70" i="57"/>
  <c r="F17" i="57"/>
  <c r="C70" i="57"/>
  <c r="K76" i="57"/>
  <c r="C80" i="57"/>
  <c r="I34" i="57"/>
  <c r="D100" i="57"/>
  <c r="K20" i="57"/>
  <c r="H39" i="57"/>
  <c r="H83" i="57"/>
  <c r="H18" i="57"/>
  <c r="D83" i="57"/>
  <c r="D69" i="57"/>
  <c r="C20" i="57"/>
  <c r="L93" i="57"/>
  <c r="J62" i="57"/>
  <c r="E75" i="57"/>
  <c r="D101" i="57"/>
  <c r="L55" i="57"/>
  <c r="H46" i="57"/>
  <c r="G12" i="57"/>
  <c r="K90" i="57"/>
  <c r="J100" i="57"/>
  <c r="E78" i="57"/>
  <c r="G63" i="57"/>
  <c r="F85" i="57"/>
  <c r="F37" i="57"/>
  <c r="H20" i="57"/>
  <c r="F92" i="57"/>
  <c r="F24" i="57"/>
  <c r="C54" i="57"/>
  <c r="D64" i="57"/>
  <c r="F55" i="57"/>
  <c r="L54" i="57"/>
  <c r="L77" i="57"/>
  <c r="H26" i="57"/>
  <c r="C72" i="57"/>
  <c r="J37" i="57"/>
  <c r="M76" i="57"/>
  <c r="J46" i="57"/>
  <c r="C55" i="57"/>
  <c r="D12" i="57"/>
  <c r="J17" i="57"/>
  <c r="H29" i="57"/>
  <c r="D86" i="57"/>
  <c r="D54" i="57"/>
  <c r="H67" i="57"/>
  <c r="J48" i="57"/>
  <c r="K86" i="57"/>
  <c r="K19" i="57"/>
  <c r="F18" i="57"/>
  <c r="F95" i="57"/>
  <c r="K77" i="57"/>
  <c r="D96" i="57"/>
  <c r="F93" i="57"/>
  <c r="F96" i="57"/>
  <c r="H28" i="57"/>
  <c r="F23" i="57"/>
  <c r="J97" i="57"/>
  <c r="M41" i="57"/>
  <c r="I82" i="57"/>
  <c r="L72" i="57"/>
  <c r="H12" i="57"/>
  <c r="I87" i="57"/>
  <c r="D29" i="57"/>
  <c r="H95" i="57"/>
  <c r="F21" i="57"/>
  <c r="E47" i="57"/>
  <c r="E95" i="57"/>
  <c r="H37" i="57"/>
  <c r="J60" i="57"/>
  <c r="G73" i="57"/>
  <c r="F12" i="57"/>
  <c r="C37" i="57"/>
  <c r="F28" i="57"/>
  <c r="D60" i="57"/>
  <c r="L43" i="57"/>
  <c r="F90" i="57"/>
  <c r="J24" i="57"/>
  <c r="K54" i="57"/>
  <c r="I100" i="57"/>
  <c r="D23" i="57"/>
  <c r="G101" i="57"/>
  <c r="G15" i="57"/>
  <c r="F20" i="57"/>
  <c r="H63" i="57"/>
  <c r="D30" i="57"/>
  <c r="I55" i="57"/>
  <c r="L32" i="57"/>
  <c r="E23" i="57"/>
  <c r="H80" i="57"/>
  <c r="I60" i="57"/>
  <c r="J20" i="57"/>
  <c r="E65" i="57"/>
  <c r="I15" i="57"/>
  <c r="L30" i="57"/>
  <c r="I17" i="57"/>
  <c r="H92" i="57"/>
  <c r="L11" i="57"/>
  <c r="G44" i="57"/>
  <c r="E74" i="57"/>
  <c r="C66" i="57"/>
  <c r="K68" i="57"/>
  <c r="F78" i="57"/>
  <c r="E98" i="57"/>
  <c r="D45" i="57"/>
  <c r="F50" i="57"/>
  <c r="I98" i="57"/>
  <c r="D55" i="57"/>
  <c r="I96" i="57"/>
  <c r="H32" i="57"/>
  <c r="J38" i="57"/>
  <c r="E45" i="57"/>
  <c r="I21" i="57"/>
  <c r="I83" i="57"/>
  <c r="F43" i="57"/>
  <c r="E70" i="57"/>
  <c r="L39" i="57"/>
  <c r="D57" i="57"/>
  <c r="C41" i="57"/>
  <c r="L61" i="57"/>
  <c r="K64" i="57"/>
  <c r="M20" i="57"/>
  <c r="D51" i="57"/>
  <c r="J59" i="57"/>
  <c r="K78" i="57"/>
  <c r="E54" i="57"/>
  <c r="E35" i="57"/>
  <c r="M84" i="57"/>
  <c r="I84" i="57"/>
  <c r="L51" i="57"/>
  <c r="E101" i="57"/>
  <c r="E102" i="57"/>
  <c r="L96" i="57"/>
  <c r="G51" i="57"/>
  <c r="I66" i="57"/>
  <c r="J21" i="57"/>
  <c r="L17" i="57"/>
  <c r="C86" i="57"/>
  <c r="G77" i="57"/>
  <c r="J96" i="57"/>
  <c r="K67" i="57"/>
  <c r="I51" i="57"/>
  <c r="G94" i="57"/>
  <c r="H45" i="57"/>
  <c r="C83" i="57"/>
  <c r="I62" i="57"/>
  <c r="F47" i="57"/>
  <c r="D76" i="57"/>
  <c r="F46" i="57"/>
  <c r="D74" i="57"/>
  <c r="I61" i="57"/>
  <c r="L45" i="57"/>
  <c r="G11" i="57"/>
  <c r="L14" i="57"/>
  <c r="L64" i="57"/>
  <c r="H71" i="57"/>
  <c r="J66" i="57"/>
  <c r="D41" i="57"/>
  <c r="F29" i="57"/>
  <c r="C75" i="57"/>
  <c r="F60" i="57"/>
  <c r="G96" i="57"/>
  <c r="D35" i="57"/>
  <c r="J29" i="57"/>
  <c r="I50" i="57"/>
  <c r="D67" i="57"/>
  <c r="D47" i="57"/>
  <c r="M66" i="57"/>
  <c r="G74" i="57"/>
  <c r="G27" i="57"/>
  <c r="H52" i="57"/>
  <c r="K22" i="57"/>
  <c r="D58" i="57"/>
  <c r="C17" i="57"/>
  <c r="L73" i="57"/>
  <c r="H57" i="57"/>
  <c r="K38" i="57"/>
  <c r="M39" i="57"/>
  <c r="G71" i="57"/>
  <c r="K73" i="57"/>
  <c r="J70" i="57"/>
  <c r="H30" i="57"/>
  <c r="H61" i="57"/>
  <c r="J92" i="57"/>
  <c r="E97" i="57"/>
  <c r="K81" i="57"/>
  <c r="C81" i="57"/>
  <c r="C36" i="57"/>
  <c r="E83" i="57"/>
  <c r="H77" i="57"/>
  <c r="K85" i="57"/>
  <c r="H27" i="57"/>
  <c r="I22" i="57"/>
  <c r="C68" i="57"/>
  <c r="F72" i="57"/>
  <c r="K80" i="57"/>
  <c r="E58" i="57"/>
  <c r="E66" i="57"/>
  <c r="H74" i="57"/>
  <c r="I41" i="57"/>
  <c r="J35" i="57"/>
  <c r="D94" i="57"/>
  <c r="H86" i="57"/>
  <c r="I89" i="57"/>
  <c r="L36" i="57"/>
  <c r="J101" i="57"/>
  <c r="K65" i="57"/>
  <c r="E94" i="57"/>
  <c r="I35" i="57"/>
  <c r="F82" i="57"/>
  <c r="H51" i="57"/>
  <c r="F15" i="57"/>
  <c r="D14" i="57"/>
  <c r="D52" i="57"/>
  <c r="G76" i="57"/>
  <c r="I46" i="57"/>
  <c r="D36" i="57"/>
  <c r="J16" i="57"/>
  <c r="F11" i="57"/>
  <c r="E37" i="57"/>
  <c r="E43" i="57"/>
  <c r="J89" i="57"/>
  <c r="D77" i="57"/>
  <c r="J43" i="57"/>
  <c r="D73" i="57"/>
  <c r="I81" i="57"/>
  <c r="F22" i="57"/>
  <c r="D26" i="57"/>
  <c r="C64" i="57"/>
  <c r="C59" i="57"/>
  <c r="K41" i="57"/>
  <c r="J95" i="57"/>
  <c r="F79" i="57"/>
  <c r="I69" i="57"/>
  <c r="J93" i="57"/>
  <c r="L92" i="57"/>
  <c r="J11" i="57"/>
  <c r="C84" i="57"/>
  <c r="K18" i="57"/>
  <c r="F87" i="57"/>
  <c r="J54" i="57"/>
  <c r="M12" i="57"/>
  <c r="K55" i="57"/>
  <c r="D89" i="57"/>
  <c r="L71" i="57"/>
  <c r="F54" i="57"/>
  <c r="C18" i="57"/>
  <c r="J30" i="57"/>
  <c r="G88" i="57"/>
  <c r="L63" i="57"/>
  <c r="M58" i="57"/>
  <c r="L27" i="57"/>
  <c r="L76" i="57"/>
  <c r="H70" i="57"/>
  <c r="M19" i="57"/>
  <c r="L69" i="57"/>
  <c r="J68" i="57"/>
  <c r="D56" i="57"/>
  <c r="I67" i="57"/>
  <c r="J14" i="57"/>
  <c r="G53" i="57"/>
  <c r="F84" i="57"/>
  <c r="F14" i="57"/>
  <c r="H21" i="57"/>
  <c r="F80" i="57"/>
  <c r="H99" i="57"/>
  <c r="F66" i="57"/>
  <c r="D17" i="57"/>
  <c r="H54" i="57"/>
  <c r="F76" i="57"/>
  <c r="H17" i="57"/>
  <c r="I75" i="57"/>
  <c r="E19" i="57"/>
  <c r="E100" i="57"/>
  <c r="D95" i="57"/>
  <c r="L40" i="57"/>
  <c r="E34" i="57"/>
  <c r="G55" i="57"/>
  <c r="H100" i="57"/>
  <c r="F16" i="57"/>
  <c r="G36" i="57"/>
  <c r="M61" i="57"/>
  <c r="G66" i="57"/>
  <c r="G69" i="57"/>
  <c r="D20" i="57"/>
  <c r="D37" i="57"/>
  <c r="H11" i="57"/>
  <c r="C89" i="57"/>
  <c r="D85" i="57"/>
  <c r="L52" i="57"/>
  <c r="L15" i="57"/>
  <c r="J99" i="57"/>
  <c r="L79" i="57"/>
  <c r="H97" i="57"/>
  <c r="M60" i="57"/>
  <c r="J57" i="57"/>
  <c r="G68" i="57"/>
  <c r="H93" i="57"/>
  <c r="D38" i="57"/>
  <c r="D97" i="57"/>
  <c r="J40" i="57"/>
  <c r="D44" i="57"/>
  <c r="L49" i="57"/>
  <c r="D50" i="57"/>
  <c r="F40" i="57"/>
  <c r="I38" i="57"/>
  <c r="F53" i="57"/>
  <c r="H102" i="57"/>
  <c r="J98" i="57"/>
  <c r="J74" i="57"/>
  <c r="D92" i="57"/>
  <c r="G79" i="57"/>
  <c r="C78" i="57"/>
  <c r="J72" i="57"/>
  <c r="H50" i="57"/>
  <c r="H89" i="57"/>
  <c r="I57" i="57"/>
  <c r="G72" i="57"/>
  <c r="H76" i="57"/>
  <c r="E52" i="57"/>
  <c r="G37" i="57"/>
  <c r="F51" i="57"/>
  <c r="D87" i="57"/>
  <c r="G84" i="57"/>
  <c r="F49" i="57"/>
  <c r="I48" i="57"/>
  <c r="H62" i="57"/>
  <c r="I18" i="57"/>
  <c r="F86" i="57"/>
  <c r="J85" i="57"/>
  <c r="J80" i="57"/>
  <c r="H14" i="57"/>
  <c r="L87" i="57"/>
  <c r="M59" i="57"/>
  <c r="I88" i="57"/>
  <c r="M57" i="57"/>
  <c r="K82" i="57"/>
  <c r="D72" i="57"/>
  <c r="M18" i="57"/>
  <c r="H66" i="57"/>
  <c r="K30" i="57"/>
  <c r="E68" i="57"/>
  <c r="E14" i="57"/>
  <c r="H59" i="57"/>
  <c r="M21" i="57"/>
  <c r="L35" i="57"/>
  <c r="E85" i="57"/>
  <c r="L78" i="57"/>
  <c r="G80" i="57"/>
  <c r="E60" i="57"/>
  <c r="M22" i="57"/>
  <c r="L12" i="57"/>
  <c r="G47" i="57"/>
  <c r="I12" i="57"/>
  <c r="L23" i="57"/>
  <c r="F57" i="57"/>
  <c r="E12" i="57"/>
  <c r="D32" i="57"/>
  <c r="C44" i="57"/>
  <c r="K66" i="57"/>
  <c r="I76" i="57"/>
  <c r="G75" i="57"/>
  <c r="G28" i="57"/>
  <c r="M83" i="57"/>
  <c r="G54" i="57"/>
  <c r="G92" i="57"/>
  <c r="E57" i="57"/>
  <c r="E71" i="57"/>
  <c r="L70" i="57"/>
  <c r="E38" i="57"/>
  <c r="F65" i="57"/>
  <c r="M89" i="57"/>
  <c r="I78" i="57"/>
  <c r="K83" i="57"/>
  <c r="I53" i="57"/>
  <c r="C62" i="57"/>
  <c r="C67" i="57"/>
  <c r="G35" i="57"/>
  <c r="L60" i="57"/>
  <c r="H22" i="57"/>
  <c r="G45" i="57"/>
  <c r="J78" i="57"/>
  <c r="M62" i="57"/>
  <c r="C87" i="57"/>
  <c r="E61" i="57"/>
  <c r="G98" i="57"/>
  <c r="C16" i="57"/>
  <c r="L47" i="57"/>
  <c r="L81" i="57"/>
  <c r="J83" i="57"/>
  <c r="E49" i="57"/>
  <c r="K88" i="57"/>
  <c r="J88" i="57"/>
  <c r="E77" i="57"/>
  <c r="L29" i="57"/>
  <c r="L67" i="57"/>
  <c r="L34" i="57"/>
  <c r="F69" i="57"/>
  <c r="M23" i="57"/>
  <c r="M86" i="57"/>
  <c r="C19" i="57"/>
  <c r="G18" i="57"/>
  <c r="M82" i="57"/>
  <c r="H79" i="57"/>
  <c r="L89" i="57"/>
  <c r="D21" i="57"/>
  <c r="K71" i="57"/>
  <c r="G78" i="57"/>
  <c r="M77" i="57"/>
  <c r="E55" i="57"/>
  <c r="F19" i="57"/>
  <c r="J18" i="57"/>
  <c r="D16" i="57"/>
  <c r="E82" i="57"/>
  <c r="M81" i="57"/>
  <c r="E99" i="57"/>
  <c r="K16" i="57"/>
  <c r="K74" i="57"/>
  <c r="C38" i="57"/>
  <c r="I64" i="57"/>
  <c r="I59" i="57"/>
  <c r="G85" i="57"/>
  <c r="J94" i="57"/>
  <c r="C60" i="57"/>
  <c r="M54" i="57"/>
  <c r="D84" i="57"/>
  <c r="H19" i="57"/>
  <c r="F61" i="57"/>
  <c r="H85" i="57"/>
  <c r="M36" i="57"/>
  <c r="M74" i="57"/>
  <c r="D15" i="57"/>
  <c r="K17" i="57"/>
  <c r="H82" i="57"/>
  <c r="K60" i="57"/>
  <c r="C63" i="57"/>
  <c r="J75" i="57"/>
  <c r="E50" i="57"/>
  <c r="F27" i="57"/>
  <c r="D78" i="57"/>
  <c r="I29" i="57"/>
  <c r="E41" i="57"/>
  <c r="G70" i="57"/>
  <c r="J41" i="57"/>
  <c r="F70" i="57"/>
  <c r="J71" i="57"/>
  <c r="D79" i="57"/>
  <c r="M99" i="57"/>
  <c r="M94" i="57"/>
  <c r="M92" i="57"/>
  <c r="M95" i="57"/>
  <c r="M93" i="57"/>
  <c r="M96" i="57"/>
  <c r="M98" i="57"/>
  <c r="M97" i="57"/>
  <c r="M100" i="57"/>
  <c r="M51" i="57"/>
  <c r="M49" i="57"/>
  <c r="K99" i="57"/>
  <c r="M26" i="57"/>
  <c r="K98" i="57"/>
  <c r="K93" i="57"/>
  <c r="K95" i="57"/>
  <c r="M43" i="57"/>
  <c r="M52" i="57"/>
  <c r="L24" i="57"/>
  <c r="M48" i="57"/>
  <c r="K94" i="57"/>
  <c r="M32" i="57"/>
  <c r="M28" i="57"/>
  <c r="M50" i="57"/>
  <c r="K92" i="57"/>
  <c r="M15" i="57"/>
  <c r="M45" i="57"/>
  <c r="M24" i="57"/>
  <c r="M14" i="57"/>
  <c r="M53" i="57"/>
  <c r="M11" i="57"/>
  <c r="M47" i="57"/>
  <c r="L26" i="57"/>
  <c r="K97" i="57"/>
  <c r="K96" i="57"/>
  <c r="M35" i="57"/>
  <c r="M29" i="57"/>
  <c r="M34" i="57"/>
  <c r="K35" i="57"/>
  <c r="K100" i="57"/>
  <c r="K53" i="57"/>
  <c r="E48" i="58"/>
  <c r="C92" i="57"/>
  <c r="E50" i="58"/>
  <c r="E35" i="58"/>
  <c r="C96" i="57"/>
  <c r="K47" i="57"/>
  <c r="K49" i="57"/>
  <c r="K34" i="57"/>
  <c r="C97" i="57"/>
  <c r="E27" i="58"/>
  <c r="E15" i="58"/>
  <c r="C94" i="57"/>
  <c r="C98" i="57"/>
  <c r="K11" i="57"/>
  <c r="E49" i="58"/>
  <c r="C99" i="57"/>
  <c r="K26" i="57"/>
  <c r="K14" i="57"/>
  <c r="E46" i="58"/>
  <c r="E12" i="58"/>
  <c r="E29" i="58"/>
  <c r="E53" i="58"/>
  <c r="K45" i="57"/>
  <c r="K28" i="57"/>
  <c r="K52" i="57"/>
  <c r="L101" i="57"/>
  <c r="K48" i="57"/>
  <c r="E52" i="58"/>
  <c r="E30" i="58"/>
  <c r="L102" i="57"/>
  <c r="K51" i="57"/>
  <c r="K29" i="57"/>
  <c r="M46" i="57"/>
  <c r="E16" i="58"/>
  <c r="E51" i="58"/>
  <c r="E33" i="58"/>
  <c r="E44" i="58"/>
  <c r="K43" i="57"/>
  <c r="C95" i="57"/>
  <c r="E36" i="58"/>
  <c r="E92" i="58"/>
  <c r="E54" i="58"/>
  <c r="K15" i="57"/>
  <c r="K50" i="57"/>
  <c r="K32" i="57"/>
  <c r="E25" i="58"/>
  <c r="K24" i="57"/>
  <c r="C93" i="57"/>
  <c r="E47" i="58"/>
  <c r="C100" i="57"/>
  <c r="C52" i="58"/>
  <c r="C53" i="58"/>
  <c r="C15" i="58"/>
  <c r="C44" i="58"/>
  <c r="C25" i="58"/>
  <c r="C49" i="58"/>
  <c r="C35" i="58"/>
  <c r="C32" i="57"/>
  <c r="C35" i="57"/>
  <c r="C48" i="58"/>
  <c r="K46" i="57"/>
  <c r="M101" i="57"/>
  <c r="C51" i="57"/>
  <c r="C52" i="57"/>
  <c r="C14" i="57"/>
  <c r="C29" i="58"/>
  <c r="C26" i="57"/>
  <c r="C48" i="57"/>
  <c r="C34" i="57"/>
  <c r="C30" i="58"/>
  <c r="C46" i="58"/>
  <c r="C92" i="58"/>
  <c r="C45" i="57"/>
  <c r="C47" i="57"/>
  <c r="C54" i="58"/>
  <c r="C51" i="58"/>
  <c r="C27" i="58"/>
  <c r="C12" i="58"/>
  <c r="C24" i="57"/>
  <c r="C15" i="57"/>
  <c r="M102" i="57"/>
  <c r="C53" i="57"/>
  <c r="C50" i="57"/>
  <c r="C43" i="57"/>
  <c r="C28" i="57"/>
  <c r="C33" i="58"/>
  <c r="C36" i="58"/>
  <c r="C11" i="57"/>
  <c r="C16" i="58"/>
  <c r="C50" i="58"/>
  <c r="C29" i="57"/>
  <c r="C49" i="57"/>
  <c r="C46" i="57"/>
  <c r="D48" i="59" s="1"/>
  <c r="K101" i="57"/>
  <c r="E94" i="58"/>
  <c r="C47" i="58"/>
  <c r="F48" i="59" l="1"/>
  <c r="E50" i="60"/>
  <c r="D52" i="59"/>
  <c r="G40" i="63"/>
  <c r="H40" i="63" s="1"/>
  <c r="G7" i="63"/>
  <c r="H7" i="63" s="1"/>
  <c r="D16" i="59"/>
  <c r="E14" i="60"/>
  <c r="D21" i="59"/>
  <c r="E19" i="60"/>
  <c r="G12" i="63"/>
  <c r="H12" i="63" s="1"/>
  <c r="D69" i="59"/>
  <c r="E67" i="60"/>
  <c r="D80" i="59"/>
  <c r="E78" i="60"/>
  <c r="E87" i="59"/>
  <c r="F85" i="60"/>
  <c r="F73" i="60"/>
  <c r="E75" i="59"/>
  <c r="E38" i="59"/>
  <c r="F36" i="60"/>
  <c r="L36" i="60" s="1"/>
  <c r="G10" i="57"/>
  <c r="E83" i="60"/>
  <c r="D85" i="59"/>
  <c r="E47" i="59"/>
  <c r="F45" i="60"/>
  <c r="L45" i="60" s="1"/>
  <c r="H91" i="57"/>
  <c r="E25" i="59"/>
  <c r="F23" i="60"/>
  <c r="L23" i="60" s="1"/>
  <c r="D39" i="59"/>
  <c r="G27" i="63"/>
  <c r="H27" i="63" s="1"/>
  <c r="E37" i="60"/>
  <c r="E14" i="59"/>
  <c r="F12" i="60"/>
  <c r="L12" i="60" s="1"/>
  <c r="F101" i="60"/>
  <c r="G101" i="60" s="1"/>
  <c r="E94" i="59"/>
  <c r="F94" i="59" s="1"/>
  <c r="E20" i="59"/>
  <c r="F18" i="60"/>
  <c r="L18" i="60" s="1"/>
  <c r="AA13" i="57"/>
  <c r="AC13" i="57" s="1"/>
  <c r="G6" i="63"/>
  <c r="H6" i="63" s="1"/>
  <c r="D14" i="59"/>
  <c r="E12" i="60"/>
  <c r="E10" i="57"/>
  <c r="E67" i="59"/>
  <c r="F65" i="60"/>
  <c r="D58" i="59"/>
  <c r="E56" i="60"/>
  <c r="F43" i="60"/>
  <c r="L43" i="60" s="1"/>
  <c r="E45" i="59"/>
  <c r="D78" i="59"/>
  <c r="E76" i="60"/>
  <c r="F98" i="60"/>
  <c r="L98" i="60" s="1"/>
  <c r="G39" i="63"/>
  <c r="H39" i="63" s="1"/>
  <c r="D51" i="59"/>
  <c r="E49" i="60"/>
  <c r="E11" i="58"/>
  <c r="M91" i="57"/>
  <c r="E74" i="59"/>
  <c r="F72" i="60"/>
  <c r="D47" i="59"/>
  <c r="AA14" i="57"/>
  <c r="AC14" i="57" s="1"/>
  <c r="E45" i="60"/>
  <c r="G34" i="63"/>
  <c r="H34" i="63" s="1"/>
  <c r="E97" i="60"/>
  <c r="G49" i="63"/>
  <c r="H49" i="63" s="1"/>
  <c r="G5" i="63"/>
  <c r="H5" i="63" s="1"/>
  <c r="C10" i="57"/>
  <c r="E11" i="60"/>
  <c r="D13" i="59"/>
  <c r="G8" i="63"/>
  <c r="H8" i="63" s="1"/>
  <c r="D17" i="59"/>
  <c r="E15" i="60"/>
  <c r="D54" i="59"/>
  <c r="E52" i="60"/>
  <c r="G46" i="63"/>
  <c r="H46" i="63" s="1"/>
  <c r="E93" i="60"/>
  <c r="G41" i="63"/>
  <c r="H41" i="63" s="1"/>
  <c r="G51" i="63"/>
  <c r="H51" i="63" s="1"/>
  <c r="E99" i="60"/>
  <c r="K91" i="57"/>
  <c r="E80" i="59"/>
  <c r="F78" i="60"/>
  <c r="E17" i="59"/>
  <c r="F15" i="60"/>
  <c r="L15" i="60" s="1"/>
  <c r="D62" i="59"/>
  <c r="E60" i="60"/>
  <c r="D89" i="59"/>
  <c r="E87" i="60"/>
  <c r="E62" i="60"/>
  <c r="D64" i="59"/>
  <c r="E52" i="59"/>
  <c r="F50" i="60"/>
  <c r="L50" i="60" s="1"/>
  <c r="D91" i="59"/>
  <c r="E89" i="60"/>
  <c r="J91" i="57"/>
  <c r="D77" i="59"/>
  <c r="E75" i="60"/>
  <c r="E31" i="59"/>
  <c r="F29" i="60"/>
  <c r="L29" i="60" s="1"/>
  <c r="E55" i="60"/>
  <c r="D57" i="59"/>
  <c r="G22" i="63"/>
  <c r="H22" i="63" s="1"/>
  <c r="D32" i="59"/>
  <c r="E30" i="60"/>
  <c r="F24" i="60"/>
  <c r="L24" i="60" s="1"/>
  <c r="E26" i="59"/>
  <c r="D59" i="59"/>
  <c r="E57" i="60"/>
  <c r="E73" i="60"/>
  <c r="G73" i="60" s="1"/>
  <c r="D75" i="59"/>
  <c r="D76" i="59"/>
  <c r="E74" i="60"/>
  <c r="F82" i="60"/>
  <c r="E84" i="59"/>
  <c r="G42" i="63"/>
  <c r="H42" i="63" s="1"/>
  <c r="E94" i="60"/>
  <c r="D49" i="59"/>
  <c r="E47" i="60"/>
  <c r="G37" i="63"/>
  <c r="H37" i="63" s="1"/>
  <c r="E32" i="60"/>
  <c r="G23" i="63"/>
  <c r="H23" i="63" s="1"/>
  <c r="D34" i="59"/>
  <c r="G47" i="63"/>
  <c r="H47" i="63" s="1"/>
  <c r="D53" i="59"/>
  <c r="E51" i="60"/>
  <c r="G43" i="63"/>
  <c r="H43" i="63" s="1"/>
  <c r="F79" i="60"/>
  <c r="E81" i="59"/>
  <c r="D46" i="59"/>
  <c r="E44" i="60"/>
  <c r="G33" i="63"/>
  <c r="H33" i="63" s="1"/>
  <c r="D91" i="57"/>
  <c r="F92" i="60"/>
  <c r="H10" i="57"/>
  <c r="E18" i="60"/>
  <c r="G11" i="63"/>
  <c r="H11" i="63" s="1"/>
  <c r="D20" i="59"/>
  <c r="F20" i="59" s="1"/>
  <c r="E79" i="59"/>
  <c r="F77" i="60"/>
  <c r="F47" i="60"/>
  <c r="E49" i="59"/>
  <c r="D43" i="59"/>
  <c r="G31" i="63"/>
  <c r="H31" i="63" s="1"/>
  <c r="E41" i="60"/>
  <c r="E66" i="59"/>
  <c r="F64" i="60"/>
  <c r="F93" i="60"/>
  <c r="L93" i="60" s="1"/>
  <c r="E95" i="59"/>
  <c r="D23" i="59"/>
  <c r="G14" i="63"/>
  <c r="H14" i="63" s="1"/>
  <c r="E21" i="60"/>
  <c r="E41" i="59"/>
  <c r="F39" i="60"/>
  <c r="L39" i="60" s="1"/>
  <c r="D67" i="59"/>
  <c r="E65" i="60"/>
  <c r="G65" i="60" s="1"/>
  <c r="E85" i="60"/>
  <c r="G85" i="60" s="1"/>
  <c r="D87" i="59"/>
  <c r="F87" i="59" s="1"/>
  <c r="G21" i="63"/>
  <c r="H21" i="63" s="1"/>
  <c r="E29" i="60"/>
  <c r="D31" i="59"/>
  <c r="F31" i="59" s="1"/>
  <c r="D28" i="59"/>
  <c r="E26" i="60"/>
  <c r="G18" i="63"/>
  <c r="H18" i="63" s="1"/>
  <c r="D37" i="59"/>
  <c r="E35" i="60"/>
  <c r="G25" i="63"/>
  <c r="H25" i="63" s="1"/>
  <c r="D55" i="59"/>
  <c r="G48" i="63"/>
  <c r="H48" i="63" s="1"/>
  <c r="E53" i="60"/>
  <c r="E100" i="60"/>
  <c r="D93" i="59"/>
  <c r="D26" i="59"/>
  <c r="E24" i="60"/>
  <c r="G17" i="63"/>
  <c r="H17" i="63" s="1"/>
  <c r="E95" i="60"/>
  <c r="G44" i="63"/>
  <c r="H44" i="63" s="1"/>
  <c r="K10" i="57"/>
  <c r="M10" i="57"/>
  <c r="F21" i="60"/>
  <c r="L21" i="60" s="1"/>
  <c r="E23" i="59"/>
  <c r="G91" i="57"/>
  <c r="F32" i="60"/>
  <c r="L32" i="60" s="1"/>
  <c r="E34" i="59"/>
  <c r="E46" i="59"/>
  <c r="F44" i="60"/>
  <c r="L44" i="60" s="1"/>
  <c r="E39" i="59"/>
  <c r="F37" i="60"/>
  <c r="L37" i="60" s="1"/>
  <c r="E84" i="60"/>
  <c r="D86" i="59"/>
  <c r="E59" i="60"/>
  <c r="D61" i="59"/>
  <c r="F52" i="60"/>
  <c r="L52" i="60" s="1"/>
  <c r="E54" i="59"/>
  <c r="E17" i="60"/>
  <c r="D19" i="59"/>
  <c r="G10" i="63"/>
  <c r="H10" i="63" s="1"/>
  <c r="E69" i="59"/>
  <c r="F67" i="60"/>
  <c r="F41" i="60"/>
  <c r="L41" i="60" s="1"/>
  <c r="E43" i="59"/>
  <c r="F74" i="60"/>
  <c r="E76" i="59"/>
  <c r="E59" i="59"/>
  <c r="F57" i="60"/>
  <c r="F30" i="60"/>
  <c r="L30" i="60" s="1"/>
  <c r="E32" i="59"/>
  <c r="E54" i="60"/>
  <c r="D56" i="59"/>
  <c r="E93" i="59"/>
  <c r="F100" i="60"/>
  <c r="E58" i="60"/>
  <c r="D60" i="59"/>
  <c r="E90" i="60"/>
  <c r="D92" i="59"/>
  <c r="F80" i="60"/>
  <c r="E82" i="59"/>
  <c r="E77" i="59"/>
  <c r="F75" i="60"/>
  <c r="E71" i="60"/>
  <c r="D73" i="59"/>
  <c r="D95" i="59"/>
  <c r="F95" i="59" s="1"/>
  <c r="F66" i="60"/>
  <c r="E68" i="59"/>
  <c r="E23" i="60"/>
  <c r="D25" i="59"/>
  <c r="F25" i="59" s="1"/>
  <c r="G16" i="63"/>
  <c r="H16" i="63" s="1"/>
  <c r="F53" i="60"/>
  <c r="L53" i="60" s="1"/>
  <c r="E55" i="59"/>
  <c r="D45" i="59"/>
  <c r="F45" i="59" s="1"/>
  <c r="E43" i="60"/>
  <c r="G32" i="63"/>
  <c r="H32" i="63" s="1"/>
  <c r="E48" i="60"/>
  <c r="D50" i="59"/>
  <c r="G38" i="63"/>
  <c r="H38" i="63" s="1"/>
  <c r="G20" i="63"/>
  <c r="H20" i="63" s="1"/>
  <c r="E28" i="60"/>
  <c r="D30" i="59"/>
  <c r="E34" i="60"/>
  <c r="G24" i="63"/>
  <c r="H24" i="63" s="1"/>
  <c r="D36" i="59"/>
  <c r="E98" i="60"/>
  <c r="G50" i="63"/>
  <c r="H50" i="63" s="1"/>
  <c r="E96" i="60"/>
  <c r="G45" i="63"/>
  <c r="H45" i="63" s="1"/>
  <c r="E18" i="59"/>
  <c r="F16" i="60"/>
  <c r="L16" i="60" s="1"/>
  <c r="E22" i="59"/>
  <c r="F20" i="60"/>
  <c r="L20" i="60" s="1"/>
  <c r="J10" i="57"/>
  <c r="D66" i="59"/>
  <c r="F66" i="59" s="1"/>
  <c r="E64" i="60"/>
  <c r="G64" i="60" s="1"/>
  <c r="E16" i="59"/>
  <c r="F14" i="60"/>
  <c r="L14" i="60" s="1"/>
  <c r="E60" i="59"/>
  <c r="F58" i="60"/>
  <c r="E66" i="60"/>
  <c r="D68" i="59"/>
  <c r="F96" i="60"/>
  <c r="L96" i="60" s="1"/>
  <c r="F54" i="60"/>
  <c r="E56" i="59"/>
  <c r="G13" i="63"/>
  <c r="H13" i="63" s="1"/>
  <c r="E20" i="60"/>
  <c r="D22" i="59"/>
  <c r="F48" i="60"/>
  <c r="L48" i="60" s="1"/>
  <c r="E50" i="59"/>
  <c r="E91" i="57"/>
  <c r="D63" i="59"/>
  <c r="E61" i="60"/>
  <c r="E61" i="59"/>
  <c r="F59" i="60"/>
  <c r="D71" i="59"/>
  <c r="E69" i="60"/>
  <c r="E88" i="60"/>
  <c r="D90" i="59"/>
  <c r="F61" i="60"/>
  <c r="E63" i="59"/>
  <c r="D11" i="58"/>
  <c r="E19" i="59"/>
  <c r="F17" i="60"/>
  <c r="L17" i="60" s="1"/>
  <c r="F89" i="60"/>
  <c r="E91" i="59"/>
  <c r="L91" i="57"/>
  <c r="E28" i="59"/>
  <c r="F26" i="60"/>
  <c r="L26" i="60" s="1"/>
  <c r="D38" i="59"/>
  <c r="E36" i="60"/>
  <c r="G26" i="63"/>
  <c r="H26" i="63" s="1"/>
  <c r="E78" i="59"/>
  <c r="F76" i="60"/>
  <c r="E57" i="59"/>
  <c r="F55" i="60"/>
  <c r="E88" i="59"/>
  <c r="F86" i="60"/>
  <c r="E72" i="60"/>
  <c r="G72" i="60" s="1"/>
  <c r="D74" i="59"/>
  <c r="F74" i="59" s="1"/>
  <c r="F91" i="57"/>
  <c r="F69" i="60"/>
  <c r="E71" i="59"/>
  <c r="E80" i="60"/>
  <c r="D82" i="59"/>
  <c r="E42" i="59"/>
  <c r="F40" i="60"/>
  <c r="L40" i="60" s="1"/>
  <c r="E64" i="59"/>
  <c r="F62" i="60"/>
  <c r="E82" i="60"/>
  <c r="G82" i="60" s="1"/>
  <c r="D84" i="59"/>
  <c r="F84" i="59" s="1"/>
  <c r="G30" i="63"/>
  <c r="H30" i="63" s="1"/>
  <c r="D42" i="59"/>
  <c r="E40" i="60"/>
  <c r="D79" i="59"/>
  <c r="F79" i="59" s="1"/>
  <c r="E77" i="60"/>
  <c r="G77" i="60" s="1"/>
  <c r="E22" i="60"/>
  <c r="D24" i="59"/>
  <c r="G15" i="63"/>
  <c r="H15" i="63" s="1"/>
  <c r="D65" i="59"/>
  <c r="E63" i="60"/>
  <c r="D40" i="59"/>
  <c r="G28" i="63"/>
  <c r="H28" i="63" s="1"/>
  <c r="E38" i="60"/>
  <c r="G9" i="63"/>
  <c r="H9" i="63" s="1"/>
  <c r="E16" i="60"/>
  <c r="D18" i="59"/>
  <c r="E89" i="59"/>
  <c r="F87" i="60"/>
  <c r="F38" i="60"/>
  <c r="L38" i="60" s="1"/>
  <c r="E40" i="59"/>
  <c r="F95" i="60"/>
  <c r="L95" i="60" s="1"/>
  <c r="F10" i="57"/>
  <c r="D83" i="59"/>
  <c r="E81" i="60"/>
  <c r="F35" i="60"/>
  <c r="L35" i="60" s="1"/>
  <c r="E37" i="59"/>
  <c r="E53" i="59"/>
  <c r="F51" i="60"/>
  <c r="L51" i="60" s="1"/>
  <c r="F60" i="60"/>
  <c r="E62" i="59"/>
  <c r="E85" i="59"/>
  <c r="F83" i="60"/>
  <c r="F22" i="60"/>
  <c r="L22" i="60" s="1"/>
  <c r="E24" i="59"/>
  <c r="F49" i="60"/>
  <c r="L49" i="60" s="1"/>
  <c r="E51" i="59"/>
  <c r="E73" i="59"/>
  <c r="F71" i="60"/>
  <c r="G19" i="63"/>
  <c r="H19" i="63" s="1"/>
  <c r="D29" i="59"/>
  <c r="E27" i="60"/>
  <c r="F27" i="60"/>
  <c r="L27" i="60" s="1"/>
  <c r="E29" i="59"/>
  <c r="E36" i="59"/>
  <c r="F34" i="60"/>
  <c r="L34" i="60" s="1"/>
  <c r="F70" i="60"/>
  <c r="E72" i="59"/>
  <c r="E90" i="59"/>
  <c r="F88" i="60"/>
  <c r="D81" i="59"/>
  <c r="F81" i="59" s="1"/>
  <c r="E79" i="60"/>
  <c r="G79" i="60" s="1"/>
  <c r="D10" i="57"/>
  <c r="E12" i="59" s="1"/>
  <c r="E13" i="59"/>
  <c r="F11" i="60"/>
  <c r="F99" i="60"/>
  <c r="L99" i="60" s="1"/>
  <c r="F97" i="60"/>
  <c r="L97" i="60" s="1"/>
  <c r="E92" i="60"/>
  <c r="G36" i="63"/>
  <c r="H36" i="63" s="1"/>
  <c r="C91" i="57"/>
  <c r="F84" i="60"/>
  <c r="E86" i="59"/>
  <c r="F56" i="60"/>
  <c r="E58" i="59"/>
  <c r="F94" i="60"/>
  <c r="L94" i="60" s="1"/>
  <c r="E68" i="60"/>
  <c r="D70" i="59"/>
  <c r="E86" i="60"/>
  <c r="G86" i="60" s="1"/>
  <c r="D88" i="59"/>
  <c r="L10" i="57"/>
  <c r="E70" i="60"/>
  <c r="D72" i="59"/>
  <c r="E70" i="59"/>
  <c r="F68" i="60"/>
  <c r="F28" i="60"/>
  <c r="L28" i="60" s="1"/>
  <c r="E30" i="59"/>
  <c r="F90" i="60"/>
  <c r="E92" i="59"/>
  <c r="E83" i="59"/>
  <c r="F81" i="60"/>
  <c r="I91" i="57"/>
  <c r="D41" i="59"/>
  <c r="E39" i="60"/>
  <c r="G29" i="63"/>
  <c r="H29" i="63" s="1"/>
  <c r="E65" i="59"/>
  <c r="F63" i="60"/>
  <c r="I10" i="57"/>
  <c r="E21" i="59"/>
  <c r="F19" i="60"/>
  <c r="L19" i="60" s="1"/>
  <c r="F42" i="59" l="1"/>
  <c r="F18" i="59"/>
  <c r="F75" i="59"/>
  <c r="F41" i="59"/>
  <c r="F67" i="59"/>
  <c r="F70" i="59"/>
  <c r="F40" i="59"/>
  <c r="F68" i="59"/>
  <c r="F26" i="59"/>
  <c r="F22" i="59"/>
  <c r="F29" i="59"/>
  <c r="F63" i="59"/>
  <c r="F93" i="59"/>
  <c r="F50" i="59"/>
  <c r="F82" i="59"/>
  <c r="G88" i="60"/>
  <c r="F38" i="59"/>
  <c r="F72" i="59"/>
  <c r="G80" i="60"/>
  <c r="G66" i="60"/>
  <c r="F90" i="59"/>
  <c r="G71" i="60"/>
  <c r="F37" i="59"/>
  <c r="K92" i="60"/>
  <c r="N36" i="63" s="1"/>
  <c r="E35" i="70" s="1"/>
  <c r="G92" i="60"/>
  <c r="G58" i="60"/>
  <c r="G36" i="60"/>
  <c r="M36" i="60" s="1"/>
  <c r="K36" i="60"/>
  <c r="N26" i="63" s="1"/>
  <c r="F30" i="59"/>
  <c r="F61" i="59"/>
  <c r="K95" i="60"/>
  <c r="N44" i="63" s="1"/>
  <c r="E43" i="70" s="1"/>
  <c r="G95" i="60"/>
  <c r="M95" i="60" s="1"/>
  <c r="K21" i="60"/>
  <c r="N14" i="63" s="1"/>
  <c r="G21" i="60"/>
  <c r="M21" i="60" s="1"/>
  <c r="F59" i="59"/>
  <c r="F57" i="59"/>
  <c r="G87" i="60"/>
  <c r="G93" i="60"/>
  <c r="M93" i="60" s="1"/>
  <c r="K93" i="60"/>
  <c r="N41" i="63" s="1"/>
  <c r="E40" i="70" s="1"/>
  <c r="K97" i="60"/>
  <c r="N49" i="63" s="1"/>
  <c r="E48" i="70" s="1"/>
  <c r="G97" i="60"/>
  <c r="M97" i="60" s="1"/>
  <c r="G78" i="60"/>
  <c r="F65" i="59"/>
  <c r="K39" i="60"/>
  <c r="N29" i="63" s="1"/>
  <c r="G39" i="60"/>
  <c r="M39" i="60" s="1"/>
  <c r="F24" i="59"/>
  <c r="G69" i="60"/>
  <c r="K28" i="60"/>
  <c r="N20" i="63" s="1"/>
  <c r="G28" i="60"/>
  <c r="M28" i="60" s="1"/>
  <c r="G59" i="60"/>
  <c r="K53" i="60"/>
  <c r="N48" i="63" s="1"/>
  <c r="G53" i="60"/>
  <c r="M53" i="60" s="1"/>
  <c r="F91" i="60"/>
  <c r="L92" i="60"/>
  <c r="G32" i="60"/>
  <c r="M32" i="60" s="1"/>
  <c r="K32" i="60"/>
  <c r="N23" i="63" s="1"/>
  <c r="G55" i="60"/>
  <c r="G89" i="60"/>
  <c r="F89" i="59"/>
  <c r="G76" i="60"/>
  <c r="F80" i="59"/>
  <c r="K14" i="60"/>
  <c r="N7" i="63" s="1"/>
  <c r="G14" i="60"/>
  <c r="M14" i="60" s="1"/>
  <c r="K48" i="60"/>
  <c r="N38" i="63" s="1"/>
  <c r="G48" i="60"/>
  <c r="M48" i="60" s="1"/>
  <c r="G70" i="60"/>
  <c r="K16" i="60"/>
  <c r="N9" i="63" s="1"/>
  <c r="G16" i="60"/>
  <c r="M16" i="60" s="1"/>
  <c r="K100" i="60"/>
  <c r="G100" i="60"/>
  <c r="M100" i="60" s="1"/>
  <c r="K43" i="60"/>
  <c r="N32" i="63" s="1"/>
  <c r="G43" i="60"/>
  <c r="M43" i="60" s="1"/>
  <c r="G23" i="60"/>
  <c r="M23" i="60" s="1"/>
  <c r="K23" i="60"/>
  <c r="N16" i="63" s="1"/>
  <c r="L100" i="60"/>
  <c r="F88" i="59"/>
  <c r="G81" i="60"/>
  <c r="K38" i="60"/>
  <c r="N28" i="63" s="1"/>
  <c r="G38" i="60"/>
  <c r="M38" i="60" s="1"/>
  <c r="K22" i="60"/>
  <c r="N15" i="63" s="1"/>
  <c r="G22" i="60"/>
  <c r="M22" i="60" s="1"/>
  <c r="F71" i="59"/>
  <c r="K98" i="60"/>
  <c r="N50" i="63" s="1"/>
  <c r="E49" i="70" s="1"/>
  <c r="G98" i="60"/>
  <c r="M98" i="60" s="1"/>
  <c r="F86" i="59"/>
  <c r="K26" i="60"/>
  <c r="N18" i="63" s="1"/>
  <c r="G26" i="60"/>
  <c r="M26" i="60" s="1"/>
  <c r="F23" i="59"/>
  <c r="K41" i="60"/>
  <c r="N31" i="63" s="1"/>
  <c r="G41" i="60"/>
  <c r="M41" i="60" s="1"/>
  <c r="F91" i="59"/>
  <c r="G60" i="60"/>
  <c r="F13" i="59"/>
  <c r="F78" i="59"/>
  <c r="K37" i="60"/>
  <c r="N27" i="63" s="1"/>
  <c r="G37" i="60"/>
  <c r="M37" i="60" s="1"/>
  <c r="G67" i="60"/>
  <c r="F16" i="59"/>
  <c r="G20" i="60"/>
  <c r="M20" i="60" s="1"/>
  <c r="K20" i="60"/>
  <c r="N13" i="63" s="1"/>
  <c r="G34" i="60"/>
  <c r="M34" i="60" s="1"/>
  <c r="K34" i="60"/>
  <c r="N24" i="63" s="1"/>
  <c r="K96" i="60"/>
  <c r="N45" i="63" s="1"/>
  <c r="E44" i="70" s="1"/>
  <c r="G96" i="60"/>
  <c r="M96" i="60" s="1"/>
  <c r="F83" i="59"/>
  <c r="F56" i="59"/>
  <c r="F19" i="59"/>
  <c r="G84" i="60"/>
  <c r="K24" i="60"/>
  <c r="N17" i="63" s="1"/>
  <c r="G24" i="60"/>
  <c r="M24" i="60" s="1"/>
  <c r="F55" i="59"/>
  <c r="F28" i="59"/>
  <c r="K51" i="60"/>
  <c r="G51" i="60"/>
  <c r="M51" i="60" s="1"/>
  <c r="G74" i="60"/>
  <c r="F62" i="59"/>
  <c r="G52" i="60"/>
  <c r="M52" i="60" s="1"/>
  <c r="K52" i="60"/>
  <c r="N46" i="63" s="1"/>
  <c r="G11" i="60"/>
  <c r="K11" i="60"/>
  <c r="N5" i="63" s="1"/>
  <c r="G45" i="60"/>
  <c r="M45" i="60" s="1"/>
  <c r="K45" i="60"/>
  <c r="N34" i="63" s="1"/>
  <c r="F69" i="59"/>
  <c r="F36" i="59"/>
  <c r="F92" i="59"/>
  <c r="G54" i="60"/>
  <c r="K17" i="60"/>
  <c r="N10" i="63" s="1"/>
  <c r="G17" i="60"/>
  <c r="M17" i="60" s="1"/>
  <c r="F43" i="59"/>
  <c r="F53" i="59"/>
  <c r="G47" i="60"/>
  <c r="K47" i="60"/>
  <c r="N37" i="63" s="1"/>
  <c r="F76" i="59"/>
  <c r="K99" i="60"/>
  <c r="N51" i="63" s="1"/>
  <c r="E50" i="70" s="1"/>
  <c r="G99" i="60"/>
  <c r="M99" i="60" s="1"/>
  <c r="F54" i="59"/>
  <c r="D12" i="59"/>
  <c r="F12" i="59" s="1"/>
  <c r="C11" i="58"/>
  <c r="G49" i="60"/>
  <c r="M49" i="60" s="1"/>
  <c r="K49" i="60"/>
  <c r="N39" i="63" s="1"/>
  <c r="F39" i="59"/>
  <c r="G40" i="60"/>
  <c r="M40" i="60" s="1"/>
  <c r="K40" i="60"/>
  <c r="N30" i="63" s="1"/>
  <c r="G68" i="60"/>
  <c r="F10" i="60"/>
  <c r="L11" i="60"/>
  <c r="G27" i="60"/>
  <c r="M27" i="60" s="1"/>
  <c r="K27" i="60"/>
  <c r="N19" i="63" s="1"/>
  <c r="G63" i="60"/>
  <c r="G61" i="60"/>
  <c r="G90" i="60"/>
  <c r="K18" i="60"/>
  <c r="N11" i="63" s="1"/>
  <c r="G18" i="60"/>
  <c r="M18" i="60" s="1"/>
  <c r="K44" i="60"/>
  <c r="N33" i="63" s="1"/>
  <c r="G44" i="60"/>
  <c r="M44" i="60" s="1"/>
  <c r="F49" i="59"/>
  <c r="K30" i="60"/>
  <c r="N22" i="63" s="1"/>
  <c r="G30" i="60"/>
  <c r="M30" i="60" s="1"/>
  <c r="G75" i="60"/>
  <c r="F47" i="59"/>
  <c r="F51" i="59"/>
  <c r="K12" i="60"/>
  <c r="N6" i="63" s="1"/>
  <c r="G12" i="60"/>
  <c r="M12" i="60" s="1"/>
  <c r="F85" i="59"/>
  <c r="F73" i="59"/>
  <c r="F60" i="59"/>
  <c r="G35" i="60"/>
  <c r="M35" i="60" s="1"/>
  <c r="K35" i="60"/>
  <c r="N25" i="63" s="1"/>
  <c r="G29" i="60"/>
  <c r="M29" i="60" s="1"/>
  <c r="K29" i="60"/>
  <c r="N21" i="63" s="1"/>
  <c r="F46" i="59"/>
  <c r="F32" i="59"/>
  <c r="F77" i="59"/>
  <c r="F64" i="59"/>
  <c r="G15" i="60"/>
  <c r="M15" i="60" s="1"/>
  <c r="K15" i="60"/>
  <c r="N8" i="63" s="1"/>
  <c r="G56" i="60"/>
  <c r="F14" i="59"/>
  <c r="G83" i="60"/>
  <c r="K19" i="60"/>
  <c r="N12" i="63" s="1"/>
  <c r="G19" i="60"/>
  <c r="M19" i="60" s="1"/>
  <c r="F52" i="59"/>
  <c r="F46" i="60"/>
  <c r="L47" i="60"/>
  <c r="F34" i="59"/>
  <c r="G94" i="60"/>
  <c r="M94" i="60" s="1"/>
  <c r="K94" i="60"/>
  <c r="N42" i="63" s="1"/>
  <c r="E41" i="70" s="1"/>
  <c r="G57" i="60"/>
  <c r="G62" i="60"/>
  <c r="F17" i="59"/>
  <c r="F58" i="59"/>
  <c r="F21" i="59"/>
  <c r="G50" i="60"/>
  <c r="M50" i="60" s="1"/>
  <c r="K50" i="60"/>
  <c r="N40" i="63" s="1"/>
  <c r="F102" i="60" l="1"/>
  <c r="L102" i="60" s="1"/>
  <c r="E32" i="70"/>
  <c r="J4" i="70" s="1"/>
  <c r="O33" i="63"/>
  <c r="F32" i="70" s="1"/>
  <c r="K4" i="70" s="1"/>
  <c r="L10" i="60"/>
  <c r="O34" i="63"/>
  <c r="F33" i="70" s="1"/>
  <c r="K10" i="70" s="1"/>
  <c r="E33" i="70"/>
  <c r="J10" i="70" s="1"/>
  <c r="E7" i="70"/>
  <c r="O8" i="63"/>
  <c r="F7" i="70" s="1"/>
  <c r="E24" i="70"/>
  <c r="O25" i="63"/>
  <c r="F24" i="70" s="1"/>
  <c r="E10" i="70"/>
  <c r="O11" i="63"/>
  <c r="F10" i="70" s="1"/>
  <c r="N47" i="63"/>
  <c r="N43" i="63"/>
  <c r="O31" i="63"/>
  <c r="F30" i="70" s="1"/>
  <c r="E30" i="70"/>
  <c r="E15" i="70"/>
  <c r="O16" i="63"/>
  <c r="F15" i="70" s="1"/>
  <c r="E8" i="70"/>
  <c r="O9" i="63"/>
  <c r="F8" i="70" s="1"/>
  <c r="L91" i="60"/>
  <c r="E20" i="70"/>
  <c r="J22" i="70" s="1"/>
  <c r="O21" i="63"/>
  <c r="F20" i="70" s="1"/>
  <c r="K22" i="70" s="1"/>
  <c r="E9" i="70"/>
  <c r="J15" i="70" s="1"/>
  <c r="O10" i="63"/>
  <c r="F9" i="70" s="1"/>
  <c r="K15" i="70" s="1"/>
  <c r="E4" i="70"/>
  <c r="J12" i="70" s="1"/>
  <c r="O5" i="63"/>
  <c r="F4" i="70" s="1"/>
  <c r="K12" i="70" s="1"/>
  <c r="E14" i="70"/>
  <c r="J14" i="70" s="1"/>
  <c r="O15" i="63"/>
  <c r="F14" i="70" s="1"/>
  <c r="K14" i="70" s="1"/>
  <c r="E28" i="70"/>
  <c r="O29" i="63"/>
  <c r="F28" i="70" s="1"/>
  <c r="E25" i="70"/>
  <c r="O26" i="63"/>
  <c r="F25" i="70" s="1"/>
  <c r="E39" i="70"/>
  <c r="O40" i="63"/>
  <c r="F39" i="70" s="1"/>
  <c r="M11" i="60"/>
  <c r="G10" i="60"/>
  <c r="M10" i="60" s="1"/>
  <c r="O27" i="63"/>
  <c r="F26" i="70" s="1"/>
  <c r="K16" i="70" s="1"/>
  <c r="E26" i="70"/>
  <c r="J16" i="70" s="1"/>
  <c r="O48" i="63"/>
  <c r="F47" i="70" s="1"/>
  <c r="K13" i="70" s="1"/>
  <c r="E47" i="70"/>
  <c r="J13" i="70" s="1"/>
  <c r="E5" i="70"/>
  <c r="O6" i="63"/>
  <c r="F5" i="70" s="1"/>
  <c r="L46" i="60"/>
  <c r="E21" i="70"/>
  <c r="O22" i="63"/>
  <c r="F21" i="70" s="1"/>
  <c r="O46" i="63"/>
  <c r="F45" i="70" s="1"/>
  <c r="K20" i="70" s="1"/>
  <c r="E45" i="70"/>
  <c r="J20" i="70" s="1"/>
  <c r="E23" i="70"/>
  <c r="O24" i="63"/>
  <c r="F23" i="70" s="1"/>
  <c r="E17" i="70"/>
  <c r="O18" i="63"/>
  <c r="F17" i="70" s="1"/>
  <c r="O28" i="63"/>
  <c r="F27" i="70" s="1"/>
  <c r="E27" i="70"/>
  <c r="E31" i="70"/>
  <c r="J18" i="70" s="1"/>
  <c r="O32" i="63"/>
  <c r="F31" i="70" s="1"/>
  <c r="K18" i="70" s="1"/>
  <c r="E37" i="70"/>
  <c r="J21" i="70" s="1"/>
  <c r="O38" i="63"/>
  <c r="F37" i="70" s="1"/>
  <c r="K21" i="70" s="1"/>
  <c r="G46" i="60"/>
  <c r="M46" i="60" s="1"/>
  <c r="M47" i="60"/>
  <c r="E29" i="70"/>
  <c r="J7" i="70" s="1"/>
  <c r="O30" i="63"/>
  <c r="F29" i="70" s="1"/>
  <c r="K7" i="70" s="1"/>
  <c r="E11" i="70"/>
  <c r="O12" i="63"/>
  <c r="F11" i="70" s="1"/>
  <c r="E18" i="70"/>
  <c r="J8" i="70" s="1"/>
  <c r="O19" i="63"/>
  <c r="F18" i="70" s="1"/>
  <c r="K8" i="70" s="1"/>
  <c r="O39" i="63"/>
  <c r="F38" i="70" s="1"/>
  <c r="E38" i="70"/>
  <c r="E36" i="70"/>
  <c r="J9" i="70" s="1"/>
  <c r="O37" i="63"/>
  <c r="F36" i="70" s="1"/>
  <c r="K9" i="70" s="1"/>
  <c r="O17" i="63"/>
  <c r="F16" i="70" s="1"/>
  <c r="E16" i="70"/>
  <c r="O14" i="63"/>
  <c r="F13" i="70" s="1"/>
  <c r="K5" i="70" s="1"/>
  <c r="E13" i="70"/>
  <c r="J5" i="70" s="1"/>
  <c r="G91" i="60"/>
  <c r="M91" i="60" s="1"/>
  <c r="M92" i="60"/>
  <c r="O13" i="63"/>
  <c r="F12" i="70" s="1"/>
  <c r="K6" i="70" s="1"/>
  <c r="E12" i="70"/>
  <c r="J6" i="70" s="1"/>
  <c r="O7" i="63"/>
  <c r="F6" i="70" s="1"/>
  <c r="K17" i="70" s="1"/>
  <c r="E6" i="70"/>
  <c r="J17" i="70" s="1"/>
  <c r="O23" i="63"/>
  <c r="F22" i="70" s="1"/>
  <c r="K11" i="70" s="1"/>
  <c r="E22" i="70"/>
  <c r="J11" i="70" s="1"/>
  <c r="E19" i="70"/>
  <c r="J23" i="70" s="1"/>
  <c r="O20" i="63"/>
  <c r="F19" i="70" s="1"/>
  <c r="K23" i="70" s="1"/>
  <c r="E46" i="60" l="1"/>
  <c r="K46" i="60" s="1"/>
  <c r="E91" i="60"/>
  <c r="K91" i="60" s="1"/>
  <c r="E46" i="70"/>
  <c r="O47" i="63"/>
  <c r="F46" i="70" s="1"/>
  <c r="E42" i="70"/>
  <c r="J19" i="70" s="1"/>
  <c r="O43" i="63"/>
  <c r="F42" i="70" s="1"/>
  <c r="K19" i="70" s="1"/>
  <c r="E10" i="60"/>
  <c r="K10" i="60" s="1"/>
  <c r="E102" i="60" l="1"/>
  <c r="G102" i="60" l="1"/>
  <c r="M102" i="60" s="1"/>
  <c r="G7" i="61"/>
  <c r="H7" i="61" s="1"/>
  <c r="K102" i="60"/>
  <c r="G8" i="61" s="1"/>
  <c r="H8" i="61" s="1"/>
</calcChain>
</file>

<file path=xl/sharedStrings.xml><?xml version="1.0" encoding="utf-8"?>
<sst xmlns="http://schemas.openxmlformats.org/spreadsheetml/2006/main" count="1649" uniqueCount="557">
  <si>
    <t>OECD</t>
  </si>
  <si>
    <t>[1]</t>
  </si>
  <si>
    <t>[2]</t>
  </si>
  <si>
    <t>[3]</t>
  </si>
  <si>
    <t>[4]</t>
  </si>
  <si>
    <t>[5]</t>
  </si>
  <si>
    <t>[6]</t>
  </si>
  <si>
    <t>[7]</t>
  </si>
  <si>
    <t>[8]</t>
  </si>
  <si>
    <t>[9]</t>
  </si>
  <si>
    <t>[10]</t>
  </si>
  <si>
    <t>[11]</t>
  </si>
  <si>
    <t>[12]</t>
  </si>
  <si>
    <t>[13]</t>
  </si>
  <si>
    <t>[14]</t>
  </si>
  <si>
    <t xml:space="preserve"> Millions of current USD</t>
  </si>
  <si>
    <t>EU countries reported in Eurostat</t>
  </si>
  <si>
    <t>Reported income paid on inward direct investment</t>
  </si>
  <si>
    <t>Corrections for income paid</t>
  </si>
  <si>
    <t>Reported income received on outward direct investment</t>
  </si>
  <si>
    <t>Correction</t>
  </si>
  <si>
    <t>As reported by country (OECD numbers otherwise IMF)</t>
  </si>
  <si>
    <t>As reported by country (IMF numbers)</t>
  </si>
  <si>
    <t>Gap (reported by country) – (reported by partners)</t>
  </si>
  <si>
    <t>#1: Adding missing income reported by partners</t>
  </si>
  <si>
    <t>Of which: paid to United States</t>
  </si>
  <si>
    <t>Of which: paid to other countries</t>
  </si>
  <si>
    <t>#2: Using stock data when no partner data</t>
  </si>
  <si>
    <t>#3: Allocating remaining global income gap</t>
  </si>
  <si>
    <t>Difference</t>
  </si>
  <si>
    <t xml:space="preserve"> #1: Adding missing income reported by partners</t>
  </si>
  <si>
    <t>OECD countries</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</si>
  <si>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</si>
  <si>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</si>
  <si>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</si>
  <si>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</si>
  <si>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</si>
  <si>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</si>
  <si>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</si>
  <si>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</si>
  <si>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</si>
  <si>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</si>
  <si>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</si>
  <si>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</si>
  <si>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</si>
  <si>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</si>
  <si>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</si>
  <si>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</si>
  <si>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</si>
  <si>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</si>
  <si>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</si>
  <si>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</si>
  <si>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</si>
  <si>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</si>
  <si>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</si>
  <si>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</si>
  <si>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</si>
  <si>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</si>
  <si>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</si>
  <si>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</si>
  <si>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</si>
  <si>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</si>
  <si>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</si>
  <si>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</si>
  <si>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</si>
  <si>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</si>
  <si>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</si>
  <si>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Main developing countries</t>
  </si>
  <si>
    <t>Brazil</t>
  </si>
  <si>
    <t>China, P.R.: Mainland</t>
  </si>
  <si>
    <t>China</t>
  </si>
  <si>
    <t>Colombia</t>
  </si>
  <si>
    <t>Costa Rica</t>
  </si>
  <si>
    <t>India</t>
  </si>
  <si>
    <t>Russia</t>
  </si>
  <si>
    <t>Russian Federation</t>
  </si>
  <si>
    <t>South Africa</t>
  </si>
  <si>
    <t>Non-OECD tax havens</t>
  </si>
  <si>
    <t>Andorra</t>
  </si>
  <si>
    <t>Anguilla</t>
  </si>
  <si>
    <t>Antigua and Barbuda</t>
  </si>
  <si>
    <t>Aruba</t>
  </si>
  <si>
    <t>Bahamas, The</t>
  </si>
  <si>
    <t>Bahamas</t>
  </si>
  <si>
    <t>Bahrain, Kingdom of</t>
  </si>
  <si>
    <t>Bahrain</t>
  </si>
  <si>
    <t>Barbados</t>
  </si>
  <si>
    <t>Belize</t>
  </si>
  <si>
    <t>Bermuda</t>
  </si>
  <si>
    <t>Bonaire, S</t>
  </si>
  <si>
    <t>Bonaire</t>
  </si>
  <si>
    <t>Virgin Islands, Brit</t>
  </si>
  <si>
    <t>British Virgin Islands</t>
  </si>
  <si>
    <t>Cayman Islands</t>
  </si>
  <si>
    <t>Curaçao</t>
  </si>
  <si>
    <t>Curacao</t>
  </si>
  <si>
    <t>Cyprus</t>
  </si>
  <si>
    <t>Jersey</t>
  </si>
  <si>
    <t>Grenada</t>
  </si>
  <si>
    <t>Guernsey</t>
  </si>
  <si>
    <t>Gibraltar</t>
  </si>
  <si>
    <t>Hong Kong,</t>
  </si>
  <si>
    <t>China, P.R.: Hong Kong</t>
  </si>
  <si>
    <t>Isle of man</t>
  </si>
  <si>
    <t>Lebanon</t>
  </si>
  <si>
    <t>Liechtenstein</t>
  </si>
  <si>
    <t>China, P.R.: Macao</t>
  </si>
  <si>
    <t>Macao</t>
  </si>
  <si>
    <t>Macau</t>
  </si>
  <si>
    <t>Malta</t>
  </si>
  <si>
    <t>Marshall Islands</t>
  </si>
  <si>
    <t>Marshall Islands, Republic of</t>
  </si>
  <si>
    <t>Monaco</t>
  </si>
  <si>
    <t>Sint Maarten</t>
  </si>
  <si>
    <t>Mauritius</t>
  </si>
  <si>
    <t>Seychelles</t>
  </si>
  <si>
    <t>Singapore</t>
  </si>
  <si>
    <t>Saint Kitts and Nevis</t>
  </si>
  <si>
    <t>Saint Lucia</t>
  </si>
  <si>
    <t>Saint Vincent and the Grenadines</t>
  </si>
  <si>
    <t>Turks and Caicos</t>
  </si>
  <si>
    <t>Panama</t>
  </si>
  <si>
    <t>Puerto Rico</t>
  </si>
  <si>
    <t>Rest of world</t>
  </si>
  <si>
    <t>Afghanistan</t>
  </si>
  <si>
    <t>AFG: Afghanistan</t>
  </si>
  <si>
    <t>Afghanistan, Islamic Republic of</t>
  </si>
  <si>
    <t>Albania</t>
  </si>
  <si>
    <t>Algeria</t>
  </si>
  <si>
    <t>Angola</t>
  </si>
  <si>
    <t>Argentina</t>
  </si>
  <si>
    <t>Armenia</t>
  </si>
  <si>
    <t xml:space="preserve">    ARM: Armenia</t>
  </si>
  <si>
    <t>Armenia, Republic of</t>
  </si>
  <si>
    <t>Azerbaijan</t>
  </si>
  <si>
    <t xml:space="preserve">    AZE: Azerbaijan</t>
  </si>
  <si>
    <t>Azerbaijan, Republic of</t>
  </si>
  <si>
    <t>Bangladesh</t>
  </si>
  <si>
    <t>Belarus</t>
  </si>
  <si>
    <t>Benin</t>
  </si>
  <si>
    <t>Bhutan</t>
  </si>
  <si>
    <t>Bolivia</t>
  </si>
  <si>
    <t xml:space="preserve">  BOL: Bolivia</t>
  </si>
  <si>
    <t>Bosnia and Herzegovina</t>
  </si>
  <si>
    <t>BIH: Bosnia and Herzegovina</t>
  </si>
  <si>
    <t>Botswana</t>
  </si>
  <si>
    <t>BRN: Brunei Darussalam</t>
  </si>
  <si>
    <t>Brunei Darussalam</t>
  </si>
  <si>
    <t>Bulgaria</t>
  </si>
  <si>
    <t>Burkina Faso</t>
  </si>
  <si>
    <t>BFA: Burkina Faso</t>
  </si>
  <si>
    <t>Burundi</t>
  </si>
  <si>
    <t>Cambodia</t>
  </si>
  <si>
    <t>KHM: Cambodia (Kampuchea)</t>
  </si>
  <si>
    <t>Cameroon</t>
  </si>
  <si>
    <t>Cape Verde</t>
  </si>
  <si>
    <t>Central African Republic</t>
  </si>
  <si>
    <t>CAF: Central African Republic</t>
  </si>
  <si>
    <t>Chad</t>
  </si>
  <si>
    <t>Comoros</t>
  </si>
  <si>
    <t>Democratic Republic of the Congo</t>
  </si>
  <si>
    <t xml:space="preserve">COD: Congo, the Democratic Republic of the </t>
  </si>
  <si>
    <t>Congo, Democratic Republic of</t>
  </si>
  <si>
    <t>Congo</t>
  </si>
  <si>
    <t>COG: Congo</t>
  </si>
  <si>
    <t>Congo, Republic of</t>
  </si>
  <si>
    <t>Côte d'Ivoire</t>
  </si>
  <si>
    <t>CIV: Côte d'Ivoire</t>
  </si>
  <si>
    <t>Cote d'Ivoire</t>
  </si>
  <si>
    <t>Croatia</t>
  </si>
  <si>
    <t>Djibouti</t>
  </si>
  <si>
    <t>Dominica</t>
  </si>
  <si>
    <t>Dominican Republic</t>
  </si>
  <si>
    <t xml:space="preserve">  DOM: Dominican Republic</t>
  </si>
  <si>
    <t>Ecuador</t>
  </si>
  <si>
    <t>Egypt</t>
  </si>
  <si>
    <t>El Salvador</t>
  </si>
  <si>
    <t xml:space="preserve">  SLV: El Salvador</t>
  </si>
  <si>
    <t>Equatorial Guinea</t>
  </si>
  <si>
    <t>GNQ: Equatorial Guinea</t>
  </si>
  <si>
    <t>Eritrea</t>
  </si>
  <si>
    <t>Ethiopia</t>
  </si>
  <si>
    <t>Faroes (DK)</t>
  </si>
  <si>
    <t>FRO: Faroe Islands</t>
  </si>
  <si>
    <t>Faroe Islands</t>
  </si>
  <si>
    <t>Fiji</t>
  </si>
  <si>
    <t>Gabon</t>
  </si>
  <si>
    <t>Gambia, The</t>
  </si>
  <si>
    <t>GMB: Gambia</t>
  </si>
  <si>
    <t>Georgia</t>
  </si>
  <si>
    <t>Ghana</t>
  </si>
  <si>
    <t>Guatemala</t>
  </si>
  <si>
    <t>Guinea</t>
  </si>
  <si>
    <t>Guinea-Bissau</t>
  </si>
  <si>
    <t>GNB: Guinea-Bissau</t>
  </si>
  <si>
    <t>Guyana</t>
  </si>
  <si>
    <t>Haiti</t>
  </si>
  <si>
    <t>Honduras</t>
  </si>
  <si>
    <t>Indonesia</t>
  </si>
  <si>
    <t>Iran, Islamic Republic of</t>
  </si>
  <si>
    <t>Iran</t>
  </si>
  <si>
    <t>Iraq</t>
  </si>
  <si>
    <t>Jamaica</t>
  </si>
  <si>
    <t>Jordan</t>
  </si>
  <si>
    <t>Kazakhstan</t>
  </si>
  <si>
    <t>Kenya</t>
  </si>
  <si>
    <t>Kiribati</t>
  </si>
  <si>
    <t>Kosovo, Republic of</t>
  </si>
  <si>
    <t>Kuwait</t>
  </si>
  <si>
    <t>Kyrgyz Republic</t>
  </si>
  <si>
    <t>Kyrgyzstan</t>
  </si>
  <si>
    <t>Lao People's Democratic Republic</t>
  </si>
  <si>
    <t>Laos</t>
  </si>
  <si>
    <t>Lesotho</t>
  </si>
  <si>
    <t>Liberia</t>
  </si>
  <si>
    <t>Libya</t>
  </si>
  <si>
    <t>Lithuania</t>
  </si>
  <si>
    <t>Macedonia,</t>
  </si>
  <si>
    <t>Former Yugoslav Republic of Macedonia, the</t>
  </si>
  <si>
    <t>Macedonia, FYR</t>
  </si>
  <si>
    <t>Madagascar</t>
  </si>
  <si>
    <t>Malawi</t>
  </si>
  <si>
    <t>Malaysia</t>
  </si>
  <si>
    <t>Maldives</t>
  </si>
  <si>
    <t>Mali</t>
  </si>
  <si>
    <t>Mauritania</t>
  </si>
  <si>
    <t>Micronesia, Federated States of</t>
  </si>
  <si>
    <t>Federated States of Micronesia</t>
  </si>
  <si>
    <t>Micronesia</t>
  </si>
  <si>
    <t>Moldova</t>
  </si>
  <si>
    <t>Mongolia</t>
  </si>
  <si>
    <t>Montenegro</t>
  </si>
  <si>
    <t>Montserrat</t>
  </si>
  <si>
    <t>Morocco</t>
  </si>
  <si>
    <t>Mozambique</t>
  </si>
  <si>
    <t>Myanmar</t>
  </si>
  <si>
    <t>Namibia</t>
  </si>
  <si>
    <t>Nepal</t>
  </si>
  <si>
    <t>Nicaragua</t>
  </si>
  <si>
    <t>Niger</t>
  </si>
  <si>
    <t>Nigeria</t>
  </si>
  <si>
    <t>Oman</t>
  </si>
  <si>
    <t>Pakistan</t>
  </si>
  <si>
    <t>Palau</t>
  </si>
  <si>
    <t>Papua New Guinea</t>
  </si>
  <si>
    <t>Paraguay</t>
  </si>
  <si>
    <t>Peru</t>
  </si>
  <si>
    <t>Philippines</t>
  </si>
  <si>
    <t>Qatar</t>
  </si>
  <si>
    <t>Romania</t>
  </si>
  <si>
    <t>Rwanda</t>
  </si>
  <si>
    <t>Samoa</t>
  </si>
  <si>
    <t>Sao Tome and Principe</t>
  </si>
  <si>
    <t>Saudi Arabia</t>
  </si>
  <si>
    <t>Senegal</t>
  </si>
  <si>
    <t>Serbia, Republic of</t>
  </si>
  <si>
    <t>Serbia</t>
  </si>
  <si>
    <t>Sierra Leone</t>
  </si>
  <si>
    <t>Solomon Islands</t>
  </si>
  <si>
    <t>South Sudan</t>
  </si>
  <si>
    <t>Sudan</t>
  </si>
  <si>
    <t>Suriname</t>
  </si>
  <si>
    <t>Swaziland</t>
  </si>
  <si>
    <t>Syria</t>
  </si>
  <si>
    <t>Syrian Arab Republic</t>
  </si>
  <si>
    <t>Tajikistan</t>
  </si>
  <si>
    <t>Tanzania</t>
  </si>
  <si>
    <t>Thailand</t>
  </si>
  <si>
    <t>Timor-Leste, Dem. Rep. of</t>
  </si>
  <si>
    <t>Timor-Leste</t>
  </si>
  <si>
    <t>Togo</t>
  </si>
  <si>
    <t>Tonga</t>
  </si>
  <si>
    <t>Trinidad and Tobago</t>
  </si>
  <si>
    <t>Tunisia</t>
  </si>
  <si>
    <t>Tuvalu</t>
  </si>
  <si>
    <t>Uganda</t>
  </si>
  <si>
    <t>Ukraine</t>
  </si>
  <si>
    <t>Uruguay</t>
  </si>
  <si>
    <t>Vanuatu</t>
  </si>
  <si>
    <t>Venezuela, Republica Bolivariana de</t>
  </si>
  <si>
    <t>Venezuela</t>
  </si>
  <si>
    <t>Vietnam</t>
  </si>
  <si>
    <t>West Bank and Gaza</t>
  </si>
  <si>
    <t>Yemen, Republic of</t>
  </si>
  <si>
    <t>Yemen</t>
  </si>
  <si>
    <t>Zambia</t>
  </si>
  <si>
    <t>Zimbabwe</t>
  </si>
  <si>
    <t>Classified or undeclared</t>
  </si>
  <si>
    <t>World total</t>
  </si>
  <si>
    <t>DI income gap</t>
  </si>
  <si>
    <t>Check</t>
  </si>
  <si>
    <t>Euro/USD</t>
  </si>
  <si>
    <t>Total</t>
  </si>
  <si>
    <t>Slovakia</t>
  </si>
  <si>
    <t>European Union (Non-SPEs)</t>
  </si>
  <si>
    <t>Host (line) /          Investor (col.)</t>
  </si>
  <si>
    <t>Billions of current US$</t>
  </si>
  <si>
    <t>Outward DI by investor less Inward DI by host</t>
  </si>
  <si>
    <t>Korea, Republic of</t>
  </si>
  <si>
    <t>GIN</t>
  </si>
  <si>
    <t>MKD</t>
  </si>
  <si>
    <t>CPV</t>
  </si>
  <si>
    <t>AND</t>
  </si>
  <si>
    <t>BES</t>
  </si>
  <si>
    <t>CYM</t>
  </si>
  <si>
    <t>CUW</t>
  </si>
  <si>
    <t>JEY</t>
  </si>
  <si>
    <t>GGY</t>
  </si>
  <si>
    <t>IMN</t>
  </si>
  <si>
    <t>LIE</t>
  </si>
  <si>
    <t>MCO</t>
  </si>
  <si>
    <t>SXM</t>
  </si>
  <si>
    <t>KNA</t>
  </si>
  <si>
    <t>LCA</t>
  </si>
  <si>
    <t>VCT</t>
  </si>
  <si>
    <t>TCA</t>
  </si>
  <si>
    <t>PRI</t>
  </si>
  <si>
    <t>CAF</t>
  </si>
  <si>
    <t>TCD</t>
  </si>
  <si>
    <t>CHN</t>
  </si>
  <si>
    <t>KOR</t>
  </si>
  <si>
    <t>RUS</t>
  </si>
  <si>
    <t>SVK</t>
  </si>
  <si>
    <t>As reported by OECD partners</t>
  </si>
  <si>
    <t>As reported by country (OECD numbers otherwise IMF otherwise report)</t>
  </si>
  <si>
    <t>Germany (until 1990 former territory of the FRG)</t>
  </si>
  <si>
    <t xml:space="preserve">Total </t>
  </si>
  <si>
    <t>Rest of World</t>
  </si>
  <si>
    <t>Hong Kong</t>
  </si>
  <si>
    <t>BVI</t>
  </si>
  <si>
    <t>[16]</t>
  </si>
  <si>
    <t>[15]</t>
  </si>
  <si>
    <t>Gribraltar</t>
  </si>
  <si>
    <t>EU</t>
  </si>
  <si>
    <t>Total local profits (corrected)</t>
  </si>
  <si>
    <t>Missing profit outflows</t>
  </si>
  <si>
    <t>Profits of operating units</t>
  </si>
  <si>
    <t>Total profits of foreign corp. (corrected)</t>
  </si>
  <si>
    <t>Reported profits</t>
  </si>
  <si>
    <t>Total corporate profits (corrected)</t>
  </si>
  <si>
    <t>Foreign</t>
  </si>
  <si>
    <t>Corp. Tax paid</t>
  </si>
  <si>
    <t>Recorded profits of SPEs (net)</t>
  </si>
  <si>
    <t>National accounts</t>
  </si>
  <si>
    <t>US FATS</t>
  </si>
  <si>
    <t>GDP</t>
  </si>
  <si>
    <t>US Country-By-Country reports</t>
  </si>
  <si>
    <t>Europa</t>
  </si>
  <si>
    <t>Car</t>
  </si>
  <si>
    <t>Middle east</t>
  </si>
  <si>
    <t>SA</t>
  </si>
  <si>
    <t>Caribbean</t>
  </si>
  <si>
    <t>Bonaire, Sint Eustatius and Saba</t>
  </si>
  <si>
    <t>Turks and Caicos Islands</t>
  </si>
  <si>
    <t>US</t>
  </si>
  <si>
    <t>Net</t>
  </si>
  <si>
    <t>Interest income</t>
  </si>
  <si>
    <t>USD/EUR</t>
  </si>
  <si>
    <t>Local</t>
  </si>
  <si>
    <t>Full economy</t>
  </si>
  <si>
    <t>Local profits</t>
  </si>
  <si>
    <t>Profits of holding companies</t>
  </si>
  <si>
    <t>Full economy  (corrected)</t>
  </si>
  <si>
    <t>Equity income of operating units (after-tax)</t>
  </si>
  <si>
    <t>Other</t>
  </si>
  <si>
    <t>Effective corporate tax rate</t>
  </si>
  <si>
    <t>Estimated tax on reported foreign profits</t>
  </si>
  <si>
    <t>Effective corporate tax rate (corrected)</t>
  </si>
  <si>
    <t>Taxable profits / compensation (π)</t>
  </si>
  <si>
    <t>Full economy (reported)</t>
  </si>
  <si>
    <t xml:space="preserve">Compensation of employees </t>
  </si>
  <si>
    <r>
      <rPr>
        <sz val="12"/>
        <rFont val="Arial"/>
        <family val="2"/>
      </rPr>
      <t>Unrecorded profits</t>
    </r>
  </si>
  <si>
    <r>
      <t>Artificially shifted profits   (π</t>
    </r>
    <r>
      <rPr>
        <b/>
        <vertAlign val="subscript"/>
        <sz val="12"/>
        <rFont val="Arial"/>
        <family val="2"/>
      </rPr>
      <t>f</t>
    </r>
    <r>
      <rPr>
        <b/>
        <sz val="12"/>
        <rFont val="Arial"/>
        <family val="2"/>
      </rPr>
      <t xml:space="preserve"> = π</t>
    </r>
    <r>
      <rPr>
        <b/>
        <vertAlign val="subscript"/>
        <sz val="12"/>
        <rFont val="Arial"/>
        <family val="2"/>
      </rPr>
      <t>l</t>
    </r>
    <r>
      <rPr>
        <b/>
        <sz val="12"/>
        <rFont val="Arial"/>
        <family val="2"/>
      </rPr>
      <t>)</t>
    </r>
  </si>
  <si>
    <t>Notes: See TWZ2018 Appendix notes. Additional adjustments in this version: Addition of the US CBC reports</t>
  </si>
  <si>
    <t>Table B.11 Updated to 2016 values: Bilateral DI income discrepancies (both investor &amp; host bilateral report exists)</t>
  </si>
  <si>
    <t>Notes: See TWZ2018 Appendix notes. Additional adjustments in this version: Inward discrepancies directly taken from stata output "totaldisc_DO_less_DI" (see Stata code)</t>
  </si>
  <si>
    <t>[17]</t>
  </si>
  <si>
    <t>[18]</t>
  </si>
  <si>
    <t>[19]</t>
  </si>
  <si>
    <t>[20]</t>
  </si>
  <si>
    <t>[21]</t>
  </si>
  <si>
    <t>[22]</t>
  </si>
  <si>
    <t>[23]</t>
  </si>
  <si>
    <t>[24]</t>
  </si>
  <si>
    <t>[25]</t>
  </si>
  <si>
    <t>[26]</t>
  </si>
  <si>
    <t>[27]</t>
  </si>
  <si>
    <t>Non-haven total</t>
  </si>
  <si>
    <t>China (except Hong Kong)</t>
  </si>
  <si>
    <t>South Korea</t>
  </si>
  <si>
    <t>Share of EU rest service</t>
  </si>
  <si>
    <t>Share of EU rest FDI interest</t>
  </si>
  <si>
    <t>Share of rest of high risk payments non EU</t>
  </si>
  <si>
    <t>Share of FDI interest non EU</t>
  </si>
  <si>
    <t>Aux computations</t>
  </si>
  <si>
    <t>Rest</t>
  </si>
  <si>
    <t>Non-EU tax havens</t>
  </si>
  <si>
    <t>EU havens</t>
  </si>
  <si>
    <t>All havens</t>
  </si>
  <si>
    <t>Royalty, insurance, ICT, financial and "other" service payments (million USD)</t>
  </si>
  <si>
    <t>FDI interest payments (million USD)</t>
  </si>
  <si>
    <t>Table C.1: High-risk payments to tax havens</t>
  </si>
  <si>
    <t>Share interest</t>
  </si>
  <si>
    <t>Excessive royalty, insurance, ICT, financial and "other" service payments (million USD)</t>
  </si>
  <si>
    <t>Table C2: Excessive high risk payments to tax havens</t>
  </si>
  <si>
    <t>Virgin Islands, British</t>
  </si>
  <si>
    <t xml:space="preserve"> FDI stocks in havens (million USD)</t>
  </si>
  <si>
    <t>Table C3: Who are the ultimate owners of the FDI stocks in tax havens?</t>
  </si>
  <si>
    <t>Corporate tax base (Bn.)</t>
  </si>
  <si>
    <t>Shifted profits (Mn.)</t>
  </si>
  <si>
    <t>Benchmark allocation: Excessive high risk payments</t>
  </si>
  <si>
    <t>Ultimate ownership (million USD)</t>
  </si>
  <si>
    <t>Excessive high risk payments (million USD)</t>
  </si>
  <si>
    <t>Table C4: Allocating the profits shifted to tax havens</t>
  </si>
  <si>
    <t>Ultimate ownership</t>
  </si>
  <si>
    <t>Excessive high risk payments</t>
  </si>
  <si>
    <t>Share of shifted profits</t>
  </si>
  <si>
    <t>Table C4b: Allocating the profits shifted to tax havens</t>
  </si>
  <si>
    <t>Share of tax base</t>
  </si>
  <si>
    <t>Corporate profits (Bn. USD)</t>
  </si>
  <si>
    <t>Table C4c: Profits shifted to tax havens – share of tax base</t>
  </si>
  <si>
    <t>Tax losses (% of corp. tax revenue)</t>
  </si>
  <si>
    <t>Tax losses (billion $US)</t>
  </si>
  <si>
    <t xml:space="preserve">Corporate tax rate </t>
  </si>
  <si>
    <t>Corporate tax revenue (Bn. USD)</t>
  </si>
  <si>
    <t>Table C4d: Lost tax revenue due to profit shifting</t>
  </si>
  <si>
    <t>Profits shifted ($Bn.)</t>
  </si>
  <si>
    <t>Profits shifted (% of foreign profits)</t>
  </si>
  <si>
    <t>Tax loss ($Bn.)</t>
  </si>
  <si>
    <t>Tax loss (% of corp. tax rev.)</t>
  </si>
  <si>
    <t>Tax havens</t>
  </si>
  <si>
    <t>Shifted profits ($Bn.)</t>
  </si>
  <si>
    <t>Average among non-havens</t>
  </si>
  <si>
    <t>Foreign-controlled sector (2015)</t>
  </si>
  <si>
    <t>UK</t>
  </si>
  <si>
    <t>Excess pi</t>
  </si>
  <si>
    <t>Local sector (2015)</t>
  </si>
  <si>
    <t>Corp. tax revenue loss/gain          (% of collected)</t>
  </si>
  <si>
    <t>GIB</t>
  </si>
  <si>
    <t>US CBC</t>
  </si>
  <si>
    <t>Rest non-EU havens</t>
  </si>
  <si>
    <t>Rest Switzerland</t>
  </si>
  <si>
    <t>Additional developing countries</t>
  </si>
  <si>
    <t>Hard codedd as cell above to avoid circular reference)</t>
  </si>
  <si>
    <t>Corp. tax revenue loss/gain (% of collected)</t>
  </si>
  <si>
    <t>TWZ updated figures: Artificially shifted profits (2018, Billion current US$)</t>
  </si>
  <si>
    <t>0.848</t>
  </si>
  <si>
    <t>Table B.10 (Updated to 2018 values): Corrections for direct investment income</t>
  </si>
  <si>
    <t>Difference ('19-'15)</t>
  </si>
  <si>
    <t>Local sector (2019)</t>
  </si>
  <si>
    <t>Foreign controlled sector (2019)</t>
  </si>
  <si>
    <t>('19 -'15)</t>
  </si>
  <si>
    <r>
      <rPr>
        <u/>
        <sz val="12"/>
        <rFont val="Arial"/>
        <family val="2"/>
      </rPr>
      <t>Notes</t>
    </r>
    <r>
      <rPr>
        <sz val="12"/>
        <rFont val="Arial"/>
        <family val="2"/>
      </rPr>
      <t xml:space="preserve">: Values are imputed when no data is available, see Online Appendix Section TWZ2018 for fulll details. Additional adjustments relevant for this update: When no data is available 2018 values are used and inflated by the country specific GDP growth in that year. </t>
    </r>
  </si>
  <si>
    <t>Global average '15</t>
  </si>
  <si>
    <t>Global average '19</t>
  </si>
  <si>
    <t>Series Name</t>
  </si>
  <si>
    <t>Series Code</t>
  </si>
  <si>
    <t>Country Name</t>
  </si>
  <si>
    <t>Country Code</t>
  </si>
  <si>
    <t>1990 [YR1990]</t>
  </si>
  <si>
    <t>2000 [YR2000]</t>
  </si>
  <si>
    <t>2012 [YR2012]</t>
  </si>
  <si>
    <t>2013 [YR2013]</t>
  </si>
  <si>
    <t>2014 [YR2014]</t>
  </si>
  <si>
    <t>2015 [YR2015]</t>
  </si>
  <si>
    <t>2016 [YR2016]</t>
  </si>
  <si>
    <t>2017 [YR2017]</t>
  </si>
  <si>
    <t>2018 [YR2018]</t>
  </si>
  <si>
    <t>2019 [YR2019]</t>
  </si>
  <si>
    <t>2020 [YR2020]</t>
  </si>
  <si>
    <t>2021 [YR2021]</t>
  </si>
  <si>
    <t>Adjusted savings: consumption of fixed capital (% of GNI)</t>
  </si>
  <si>
    <t>NY.ADJ.DKAP.GN.ZS</t>
  </si>
  <si>
    <t>World</t>
  </si>
  <si>
    <t>WLD</t>
  </si>
  <si>
    <t>..</t>
  </si>
  <si>
    <t>Data from database: World Development Indicators</t>
  </si>
  <si>
    <t>Last Updated: 09/16/2022</t>
  </si>
  <si>
    <t>Code</t>
  </si>
  <si>
    <t>License Type</t>
  </si>
  <si>
    <t>Indicator Name</t>
  </si>
  <si>
    <t>Long definition</t>
  </si>
  <si>
    <t>Source</t>
  </si>
  <si>
    <t>Topic</t>
  </si>
  <si>
    <t>Periodicity</t>
  </si>
  <si>
    <t>Aggregation method</t>
  </si>
  <si>
    <t>License URL</t>
  </si>
  <si>
    <t>CC BY-4.0</t>
  </si>
  <si>
    <t>Consumption of fixed capital represents the replacement value of capital used up in the process of production.</t>
  </si>
  <si>
    <t>World Bank staff estimates using data from the United Nations Statistics Division's National Accounts Statistics.</t>
  </si>
  <si>
    <t>Economic Policy &amp; Debt: National accounts: Adjusted savings &amp; income</t>
  </si>
  <si>
    <t>Annual</t>
  </si>
  <si>
    <t>Weighted average</t>
  </si>
  <si>
    <t>https://datacatalog.worldbank.org/public-licenses#cc-by</t>
  </si>
  <si>
    <t>$Bn., current values</t>
  </si>
  <si>
    <t>Relative change ('19 -'15)</t>
  </si>
  <si>
    <t>Global GDP</t>
  </si>
  <si>
    <t>Corporate profits</t>
  </si>
  <si>
    <t>Multinational profits</t>
  </si>
  <si>
    <t>Profits shifted</t>
  </si>
  <si>
    <t>Profits shifted (% of multinational profits)</t>
  </si>
  <si>
    <t>1.2 p.p.</t>
  </si>
  <si>
    <t>Tax loss</t>
  </si>
  <si>
    <t>1.0 p.p.</t>
  </si>
  <si>
    <t>Depreciation</t>
  </si>
  <si>
    <t>Profit share of income</t>
  </si>
  <si>
    <t>Multinational profits share</t>
  </si>
  <si>
    <t>Share of foreign profits in corp. profits</t>
  </si>
  <si>
    <t>Share of corp. profits in national income</t>
  </si>
  <si>
    <t>Foreign share of all profits (TWZ 2022)</t>
  </si>
  <si>
    <t>Corp. share of inc. (TWZ 2022)</t>
  </si>
  <si>
    <t>Profits of U.S. multinationals abroad: country breakdown</t>
  </si>
  <si>
    <t>Excluding Puerto Rico</t>
  </si>
  <si>
    <t>Including Puerto Rico</t>
  </si>
  <si>
    <t>Memo: Foreign profits, excl. Puerto Rico ($bn)</t>
  </si>
  <si>
    <t>Memo: Puerto Rico profits ($bn)</t>
  </si>
  <si>
    <t>% of foreign pre-tax profits</t>
  </si>
  <si>
    <t>Total havens (excl. Puerto Rico)</t>
  </si>
  <si>
    <t>Netherlands + Luxembourg</t>
  </si>
  <si>
    <t>Bermuda and Carribbean havens</t>
  </si>
  <si>
    <t>Total havens (incl. Puerto Rico)</t>
  </si>
  <si>
    <t>Wright &amp; Zucman (Share of profits in havens)</t>
  </si>
  <si>
    <t>Global profits shifted to tax havens (% of foreign)</t>
  </si>
  <si>
    <t>Global foreign profits (% of all)</t>
  </si>
  <si>
    <t>Tax loss (% of corp. tax revenue)</t>
  </si>
  <si>
    <t>US foreign profits (% of total)</t>
  </si>
  <si>
    <t>Pi in Havens: no controls</t>
  </si>
  <si>
    <t>Pi in Non-havens: no controls</t>
  </si>
  <si>
    <t>Share of excess profits in havens</t>
  </si>
  <si>
    <t>Imputed using US trend before 2015</t>
  </si>
  <si>
    <t>Imputed using US trend before 1975</t>
  </si>
  <si>
    <t>Wright &amp; Zucman</t>
  </si>
  <si>
    <t>TWZ2022</t>
  </si>
  <si>
    <t>Imputed in years in between reference years</t>
  </si>
  <si>
    <t>update rev</t>
  </si>
  <si>
    <r>
      <rPr>
        <u/>
        <sz val="12"/>
        <color theme="1"/>
        <rFont val="Arial"/>
        <family val="2"/>
      </rPr>
      <t>Notes</t>
    </r>
    <r>
      <rPr>
        <sz val="12"/>
        <color theme="1"/>
        <rFont val="Garamond"/>
        <family val="2"/>
      </rPr>
      <t>: Tax havens include Bermuda, Bermuda and Caribbean tax havens, Ireland, Luxembourg, Netherlands, Singapore, and Switzerland. All sectors are included.</t>
    </r>
  </si>
  <si>
    <t xml:space="preserve">Profit measure is profit-type return in the BEA survey since 1994; and net income plus foreign income taxes paid minus income from equity investment minus capital gains before. </t>
  </si>
  <si>
    <t>For 2020, data are estimated starting from profit-type return in the 2019 BEA benchmark survey and using the 2019-2020 evolution of USDIA income from form BE–577</t>
  </si>
  <si>
    <t>Puerto Rico profits are from SOI tabulations of form 8975 (CBCR) in 2016–2018; before that they are taken from Saez-Zucman 2019. 2019 value assumed to be equal to 2018 value; 2020 follows the evolution of total USDIA income.</t>
  </si>
  <si>
    <t>Computations with links to the raw data can be found in file WrightZucman2018Appendix sheet T.A3c; last updated in Nov. 2021 using the 2019 BEA benchmark survey.</t>
  </si>
  <si>
    <t>Table F3: Multinational profits as share of global profits (decennial averages)</t>
  </si>
  <si>
    <t>MNE profits/Global profits</t>
  </si>
  <si>
    <t>US FDI/US profits</t>
  </si>
  <si>
    <t>MNE profits/Global profits - Including imputations</t>
  </si>
  <si>
    <t>US Corp profits in national income</t>
  </si>
  <si>
    <t>Global corp profits in national income</t>
  </si>
  <si>
    <t>1930-39</t>
  </si>
  <si>
    <t>1940-49</t>
  </si>
  <si>
    <t>1950-59</t>
  </si>
  <si>
    <t>1960-69</t>
  </si>
  <si>
    <t>1970-79</t>
  </si>
  <si>
    <t>1980-89</t>
  </si>
  <si>
    <t>1990-99</t>
  </si>
  <si>
    <t>2000-09</t>
  </si>
  <si>
    <t>2010-15</t>
  </si>
  <si>
    <t>2016-19</t>
  </si>
  <si>
    <t>This workbook contains the tables and figures from "Global Profit Shifting, 1975-2019", Wier &amp; Zucman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</si>
</sst>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 #,##0_ ;_ * \-#,##0_ ;_ * &quot;-&quot;??_ ;_ @_ "/>
    <numFmt numFmtId="166" formatCode="_ * #,##0.00_ ;_ * \-#,##0.00_ ;_ * &quot;-&quot;??_ ;_ @_ "/>
    <numFmt numFmtId="167" formatCode="#,##0.0"/>
    <numFmt numFmtId="168" formatCode="0.0"/>
    <numFmt numFmtId="169" formatCode="0.0%"/>
    <numFmt numFmtId="170" formatCode="0.00000000000"/>
  </numFmts>
  <fonts count="64" x14ac:knownFonts="1">
    <font>
      <sz val="12"/>
      <color theme="1"/>
      <name val="Garamond"/>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4"/>
      <name val="Arial"/>
      <family val="2"/>
    </font>
    <font>
      <sz val="12"/>
      <name val="Arial"/>
      <family val="2"/>
    </font>
    <font>
      <sz val="14"/>
      <name val="Arial"/>
      <family val="2"/>
    </font>
    <font>
      <b/>
      <sz val="12"/>
      <name val="Arial"/>
      <family val="2"/>
    </font>
    <font>
      <b/>
      <sz val="12"/>
      <name val="Arial Narrow"/>
      <family val="2"/>
    </font>
    <font>
      <i/>
      <sz val="12"/>
      <name val="Arial"/>
      <family val="2"/>
    </font>
    <font>
      <sz val="12"/>
      <color theme="1"/>
      <name val="Garamond"/>
      <family val="2"/>
    </font>
    <font>
      <b/>
      <sz val="12"/>
      <color theme="1"/>
      <name val="Arial"/>
      <family val="2"/>
    </font>
    <font>
      <sz val="12"/>
      <color theme="1"/>
      <name val="Arial"/>
      <family val="2"/>
      <charset val="204"/>
    </font>
    <font>
      <sz val="8"/>
      <name val="Arial"/>
      <family val="2"/>
    </font>
    <font>
      <sz val="10"/>
      <color rgb="FFFF0000"/>
      <name val="Arial"/>
      <family val="2"/>
    </font>
    <font>
      <sz val="14"/>
      <color rgb="FFFF0000"/>
      <name val="Arial"/>
      <family val="2"/>
    </font>
    <font>
      <sz val="12"/>
      <color rgb="FFFF0000"/>
      <name val="Arial"/>
      <family val="2"/>
    </font>
    <font>
      <sz val="12"/>
      <color theme="1"/>
      <name val="Arial"/>
      <family val="2"/>
    </font>
    <font>
      <b/>
      <sz val="10"/>
      <color theme="1"/>
      <name val="Arial"/>
      <family val="2"/>
    </font>
    <font>
      <sz val="10"/>
      <color theme="1"/>
      <name val="Arial"/>
      <family val="2"/>
    </font>
    <font>
      <sz val="12"/>
      <color rgb="FF000000"/>
      <name val="Arial"/>
      <family val="2"/>
    </font>
    <font>
      <sz val="12"/>
      <color theme="1"/>
      <name val="Arial Narrow"/>
      <family val="2"/>
    </font>
    <font>
      <b/>
      <sz val="16"/>
      <color theme="1"/>
      <name val="Arial"/>
      <family val="2"/>
    </font>
    <font>
      <sz val="12"/>
      <color theme="1"/>
      <name val="Garamond"/>
      <family val="1"/>
    </font>
    <font>
      <b/>
      <sz val="12"/>
      <color theme="1"/>
      <name val="Garamond"/>
      <family val="1"/>
    </font>
    <font>
      <sz val="11"/>
      <name val="Arial"/>
      <family val="2"/>
    </font>
    <font>
      <b/>
      <sz val="10"/>
      <name val="Arial"/>
      <family val="2"/>
    </font>
    <font>
      <sz val="10"/>
      <name val="Arial"/>
      <family val="2"/>
    </font>
    <font>
      <u/>
      <sz val="11"/>
      <color theme="10"/>
      <name val="Calibri"/>
      <family val="2"/>
      <scheme val="minor"/>
    </font>
    <font>
      <sz val="11"/>
      <color indexed="8"/>
      <name val="Calibri"/>
      <family val="2"/>
      <scheme val="minor"/>
    </font>
    <font>
      <sz val="12"/>
      <name val="Arial"/>
      <family val="2"/>
      <charset val="204"/>
    </font>
    <font>
      <b/>
      <vertAlign val="subscript"/>
      <sz val="12"/>
      <name val="Arial"/>
      <family val="2"/>
    </font>
    <font>
      <b/>
      <i/>
      <sz val="12"/>
      <name val="Arial"/>
      <family val="2"/>
    </font>
    <font>
      <u/>
      <sz val="12"/>
      <name val="Arial"/>
      <family val="2"/>
    </font>
    <font>
      <sz val="9"/>
      <name val="Times New Roman"/>
      <family val="1"/>
    </font>
    <font>
      <sz val="16"/>
      <color theme="1"/>
      <name val="Arial"/>
      <family val="2"/>
    </font>
    <font>
      <sz val="26"/>
      <color theme="1"/>
      <name val="Garamond"/>
      <family val="1"/>
    </font>
    <font>
      <b/>
      <sz val="26"/>
      <color theme="1"/>
      <name val="Garamond"/>
      <family val="1"/>
    </font>
    <font>
      <i/>
      <sz val="26"/>
      <color theme="1"/>
      <name val="Garamond"/>
      <family val="1"/>
    </font>
    <font>
      <sz val="11"/>
      <color theme="1"/>
      <name val="Calibri"/>
      <family val="2"/>
    </font>
    <font>
      <sz val="26"/>
      <color theme="1"/>
      <name val="Garamond"/>
      <family val="2"/>
    </font>
    <font>
      <sz val="22"/>
      <color theme="1"/>
      <name val="Garamond"/>
      <family val="2"/>
    </font>
    <font>
      <b/>
      <sz val="22"/>
      <color theme="1"/>
      <name val="Garamond"/>
      <family val="1"/>
    </font>
    <font>
      <i/>
      <sz val="12"/>
      <color theme="1"/>
      <name val="Garamond"/>
      <family val="1"/>
    </font>
    <font>
      <sz val="20"/>
      <color theme="1"/>
      <name val="Garamond"/>
      <family val="1"/>
    </font>
    <font>
      <sz val="15"/>
      <color theme="1"/>
      <name val="Garamond"/>
      <family val="1"/>
    </font>
    <font>
      <b/>
      <sz val="15"/>
      <color theme="1"/>
      <name val="Garamond"/>
      <family val="1"/>
    </font>
    <font>
      <u/>
      <sz val="12"/>
      <color theme="1"/>
      <name val="Garamond"/>
      <family val="2"/>
    </font>
    <font>
      <u/>
      <sz val="12"/>
      <color theme="1"/>
      <name val="Garamond"/>
      <family val="1"/>
    </font>
    <font>
      <u/>
      <sz val="12"/>
      <color theme="10"/>
      <name val="Garamond"/>
      <family val="2"/>
    </font>
    <font>
      <sz val="16"/>
      <color rgb="FF000000"/>
      <name val="Arial"/>
      <family val="2"/>
    </font>
    <font>
      <sz val="24"/>
      <color theme="1"/>
      <name val="Garamond"/>
      <family val="1"/>
    </font>
    <font>
      <b/>
      <sz val="24"/>
      <color theme="1"/>
      <name val="Garamond"/>
      <family val="1"/>
    </font>
    <font>
      <sz val="22"/>
      <color theme="1"/>
      <name val="Garamond"/>
      <family val="1"/>
    </font>
    <font>
      <u/>
      <sz val="12"/>
      <color theme="1"/>
      <name val="Arial"/>
      <family val="2"/>
    </font>
    <font>
      <i/>
      <sz val="18"/>
      <color theme="1"/>
      <name val="Garamond"/>
      <family val="1"/>
    </font>
  </fonts>
  <fills count="7">
    <fill>
      <patternFill patternType="none"/>
    </fill>
    <fill>
      <patternFill patternType="gray125"/>
    </fill>
    <fill>
      <patternFill patternType="solid">
        <fgColor indexed="44"/>
        <bgColor indexed="64"/>
      </patternFill>
    </fill>
    <fill>
      <patternFill patternType="solid">
        <fgColor rgb="FFC4D8ED"/>
        <bgColor indexed="64"/>
      </patternFill>
    </fill>
    <fill>
      <patternFill patternType="solid">
        <fgColor rgb="FFEEEEEE"/>
      </patternFill>
    </fill>
    <fill>
      <patternFill patternType="solid">
        <fgColor theme="0"/>
        <bgColor indexed="64"/>
      </patternFill>
    </fill>
    <fill>
      <patternFill patternType="solid">
        <fgColor rgb="FFFFFF00"/>
        <bgColor indexed="64"/>
      </patternFill>
    </fill>
  </fills>
  <borders count="91">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medium">
        <color auto="1"/>
      </top>
      <bottom/>
      <diagonal/>
    </border>
    <border>
      <left/>
      <right/>
      <top style="medium">
        <color auto="1"/>
      </top>
      <bottom/>
      <diagonal/>
    </border>
    <border>
      <left style="medium">
        <color auto="1"/>
      </left>
      <right/>
      <top/>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thin">
        <color rgb="FFC0C0C0"/>
      </left>
      <right style="thin">
        <color rgb="FFC0C0C0"/>
      </right>
      <top style="thin">
        <color rgb="FFC0C0C0"/>
      </top>
      <bottom style="thin">
        <color rgb="FFC0C0C0"/>
      </bottom>
      <diagonal/>
    </border>
    <border>
      <left style="medium">
        <color auto="1"/>
      </left>
      <right style="thin">
        <color auto="1"/>
      </right>
      <top/>
      <bottom/>
      <diagonal/>
    </border>
    <border>
      <left style="thick">
        <color auto="1"/>
      </left>
      <right/>
      <top/>
      <bottom style="thick">
        <color auto="1"/>
      </bottom>
      <diagonal/>
    </border>
    <border>
      <left style="medium">
        <color auto="1"/>
      </left>
      <right/>
      <top/>
      <bottom style="thick">
        <color auto="1"/>
      </bottom>
      <diagonal/>
    </border>
    <border>
      <left/>
      <right/>
      <top/>
      <bottom style="thick">
        <color auto="1"/>
      </bottom>
      <diagonal/>
    </border>
    <border>
      <left style="thin">
        <color auto="1"/>
      </left>
      <right/>
      <top/>
      <bottom style="thick">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style="thick">
        <color auto="1"/>
      </right>
      <top/>
      <bottom style="thick">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style="thick">
        <color auto="1"/>
      </bottom>
      <diagonal/>
    </border>
    <border>
      <left/>
      <right style="medium">
        <color auto="1"/>
      </right>
      <top/>
      <bottom style="thick">
        <color auto="1"/>
      </bottom>
      <diagonal/>
    </border>
    <border>
      <left/>
      <right style="medium">
        <color auto="1"/>
      </right>
      <top/>
      <bottom/>
      <diagonal/>
    </border>
    <border>
      <left style="medium">
        <color auto="1"/>
      </left>
      <right style="thin">
        <color auto="1"/>
      </right>
      <top/>
      <bottom style="thick">
        <color auto="1"/>
      </bottom>
      <diagonal/>
    </border>
    <border>
      <left/>
      <right/>
      <top style="thin">
        <color auto="1"/>
      </top>
      <bottom/>
      <diagonal/>
    </border>
    <border>
      <left style="medium">
        <color auto="1"/>
      </left>
      <right/>
      <top/>
      <bottom style="thin">
        <color indexed="64"/>
      </bottom>
      <diagonal/>
    </border>
    <border>
      <left/>
      <right/>
      <top/>
      <bottom style="thin">
        <color indexed="64"/>
      </bottom>
      <diagonal/>
    </border>
    <border>
      <left/>
      <right style="medium">
        <color auto="1"/>
      </right>
      <top style="thin">
        <color auto="1"/>
      </top>
      <bottom/>
      <diagonal/>
    </border>
    <border>
      <left style="medium">
        <color indexed="64"/>
      </left>
      <right style="medium">
        <color indexed="64"/>
      </right>
      <top/>
      <bottom style="medium">
        <color indexed="64"/>
      </bottom>
      <diagonal/>
    </border>
    <border>
      <left style="medium">
        <color auto="1"/>
      </left>
      <right/>
      <top style="thin">
        <color auto="1"/>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auto="1"/>
      </left>
      <right style="medium">
        <color indexed="64"/>
      </right>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top style="thin">
        <color indexed="64"/>
      </top>
      <bottom style="medium">
        <color auto="1"/>
      </bottom>
      <diagonal/>
    </border>
    <border>
      <left style="medium">
        <color indexed="64"/>
      </left>
      <right style="thin">
        <color indexed="64"/>
      </right>
      <top/>
      <bottom style="thin">
        <color indexed="64"/>
      </bottom>
      <diagonal/>
    </border>
    <border>
      <left style="thick">
        <color auto="1"/>
      </left>
      <right/>
      <top/>
      <bottom style="thin">
        <color indexed="64"/>
      </bottom>
      <diagonal/>
    </border>
    <border>
      <left/>
      <right style="thin">
        <color auto="1"/>
      </right>
      <top/>
      <bottom style="thin">
        <color indexed="64"/>
      </bottom>
      <diagonal/>
    </border>
    <border>
      <left style="thin">
        <color indexed="64"/>
      </left>
      <right style="medium">
        <color indexed="64"/>
      </right>
      <top style="thin">
        <color indexed="64"/>
      </top>
      <bottom/>
      <diagonal/>
    </border>
    <border>
      <left style="medium">
        <color auto="1"/>
      </left>
      <right/>
      <top style="thin">
        <color indexed="64"/>
      </top>
      <bottom style="thin">
        <color auto="1"/>
      </bottom>
      <diagonal/>
    </border>
    <border>
      <left/>
      <right style="medium">
        <color auto="1"/>
      </right>
      <top style="thin">
        <color indexed="64"/>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auto="1"/>
      </top>
      <bottom/>
      <diagonal/>
    </border>
    <border>
      <left style="medium">
        <color auto="1"/>
      </left>
      <right style="medium">
        <color indexed="64"/>
      </right>
      <top style="thin">
        <color auto="1"/>
      </top>
      <bottom/>
      <diagonal/>
    </border>
    <border>
      <left style="medium">
        <color auto="1"/>
      </left>
      <right/>
      <top style="thin">
        <color auto="1"/>
      </top>
      <bottom/>
      <diagonal/>
    </border>
    <border>
      <left/>
      <right/>
      <top style="thin">
        <color auto="1"/>
      </top>
      <bottom style="thin">
        <color auto="1"/>
      </bottom>
      <diagonal/>
    </border>
    <border>
      <left style="thin">
        <color indexed="64"/>
      </left>
      <right/>
      <top/>
      <bottom style="thin">
        <color auto="1"/>
      </bottom>
      <diagonal/>
    </border>
    <border>
      <left style="thin">
        <color auto="1"/>
      </left>
      <right style="medium">
        <color indexed="64"/>
      </right>
      <top style="medium">
        <color auto="1"/>
      </top>
      <bottom style="thin">
        <color auto="1"/>
      </bottom>
      <diagonal/>
    </border>
    <border>
      <left style="thin">
        <color auto="1"/>
      </left>
      <right style="medium">
        <color indexed="64"/>
      </right>
      <top/>
      <bottom/>
      <diagonal/>
    </border>
    <border>
      <left style="thin">
        <color auto="1"/>
      </left>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thin">
        <color auto="1"/>
      </top>
      <bottom style="medium">
        <color indexed="64"/>
      </bottom>
      <diagonal/>
    </border>
    <border>
      <left/>
      <right style="thick">
        <color auto="1"/>
      </right>
      <top/>
      <bottom style="thin">
        <color auto="1"/>
      </bottom>
      <diagonal/>
    </border>
    <border>
      <left style="thick">
        <color auto="1"/>
      </left>
      <right/>
      <top style="thin">
        <color auto="1"/>
      </top>
      <bottom/>
      <diagonal/>
    </border>
    <border>
      <left/>
      <right style="thick">
        <color auto="1"/>
      </right>
      <top style="thin">
        <color auto="1"/>
      </top>
      <bottom/>
      <diagonal/>
    </border>
    <border>
      <left style="medium">
        <color indexed="64"/>
      </left>
      <right/>
      <top style="thin">
        <color indexed="64"/>
      </top>
      <bottom/>
      <diagonal/>
    </border>
    <border>
      <left/>
      <right/>
      <top style="thin">
        <color indexed="64"/>
      </top>
      <bottom/>
      <diagonal/>
    </border>
    <border>
      <left style="medium">
        <color auto="1"/>
      </left>
      <right/>
      <top style="thin">
        <color indexed="64"/>
      </top>
      <bottom/>
      <diagonal/>
    </border>
    <border>
      <left/>
      <right/>
      <top style="thin">
        <color indexed="64"/>
      </top>
      <bottom style="thin">
        <color indexed="64"/>
      </bottom>
      <diagonal/>
    </border>
    <border>
      <left/>
      <right/>
      <top style="thin">
        <color indexed="64"/>
      </top>
      <bottom/>
      <diagonal/>
    </border>
    <border>
      <left/>
      <right style="thick">
        <color auto="1"/>
      </right>
      <top style="thin">
        <color auto="1"/>
      </top>
      <bottom style="thin">
        <color auto="1"/>
      </bottom>
      <diagonal/>
    </border>
    <border>
      <left/>
      <right/>
      <top style="thin">
        <color rgb="FFFFFFFF"/>
      </top>
      <bottom style="thin">
        <color rgb="FFFFFFFF"/>
      </bottom>
      <diagonal/>
    </border>
    <border>
      <left style="thin">
        <color auto="1"/>
      </left>
      <right/>
      <top style="thin">
        <color auto="1"/>
      </top>
      <bottom style="thin">
        <color auto="1"/>
      </bottom>
      <diagonal/>
    </border>
    <border>
      <left style="medium">
        <color auto="1"/>
      </left>
      <right style="medium">
        <color auto="1"/>
      </right>
      <top style="thin">
        <color auto="1"/>
      </top>
      <bottom style="thick">
        <color auto="1"/>
      </bottom>
      <diagonal/>
    </border>
    <border>
      <left/>
      <right style="thin">
        <color auto="1"/>
      </right>
      <top style="thin">
        <color auto="1"/>
      </top>
      <bottom/>
      <diagonal/>
    </border>
    <border>
      <left/>
      <right/>
      <top/>
      <bottom style="double">
        <color indexed="64"/>
      </bottom>
      <diagonal/>
    </border>
    <border>
      <left style="medium">
        <color auto="1"/>
      </left>
      <right style="thin">
        <color indexed="64"/>
      </right>
      <top style="thin">
        <color indexed="64"/>
      </top>
      <bottom style="medium">
        <color auto="1"/>
      </bottom>
      <diagonal/>
    </border>
    <border>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ck">
        <color auto="1"/>
      </left>
      <right/>
      <top/>
      <bottom style="dashed">
        <color auto="1"/>
      </bottom>
      <diagonal/>
    </border>
    <border>
      <left style="medium">
        <color auto="1"/>
      </left>
      <right/>
      <top/>
      <bottom style="dashed">
        <color auto="1"/>
      </bottom>
      <diagonal/>
    </border>
    <border>
      <left/>
      <right/>
      <top/>
      <bottom style="dashed">
        <color auto="1"/>
      </bottom>
      <diagonal/>
    </border>
    <border>
      <left/>
      <right style="thick">
        <color auto="1"/>
      </right>
      <top/>
      <bottom style="dashed">
        <color auto="1"/>
      </bottom>
      <diagonal/>
    </border>
    <border>
      <left style="thick">
        <color auto="1"/>
      </left>
      <right/>
      <top style="dashed">
        <color auto="1"/>
      </top>
      <bottom/>
      <diagonal/>
    </border>
    <border>
      <left style="medium">
        <color auto="1"/>
      </left>
      <right/>
      <top style="dashed">
        <color auto="1"/>
      </top>
      <bottom/>
      <diagonal/>
    </border>
    <border>
      <left/>
      <right/>
      <top style="dashed">
        <color auto="1"/>
      </top>
      <bottom/>
      <diagonal/>
    </border>
    <border>
      <left/>
      <right style="thick">
        <color auto="1"/>
      </right>
      <top style="dashed">
        <color auto="1"/>
      </top>
      <bottom/>
      <diagonal/>
    </border>
  </borders>
  <cellStyleXfs count="36">
    <xf numFmtId="0" fontId="0" fillId="0" borderId="0"/>
    <xf numFmtId="9" fontId="9" fillId="0" borderId="0" applyFont="0" applyFill="0" applyBorder="0" applyAlignment="0" applyProtection="0"/>
    <xf numFmtId="0" fontId="10" fillId="0" borderId="0"/>
    <xf numFmtId="0" fontId="10" fillId="0" borderId="0"/>
    <xf numFmtId="0" fontId="9" fillId="0" borderId="0"/>
    <xf numFmtId="166" fontId="8" fillId="0" borderId="0" applyFont="0" applyFill="0" applyBorder="0" applyAlignment="0" applyProtection="0"/>
    <xf numFmtId="0" fontId="20" fillId="0" borderId="0"/>
    <xf numFmtId="0" fontId="8" fillId="0" borderId="0"/>
    <xf numFmtId="9" fontId="18" fillId="0" borderId="0" applyFont="0" applyFill="0" applyBorder="0" applyAlignment="0" applyProtection="0"/>
    <xf numFmtId="166" fontId="18" fillId="0" borderId="0" applyFont="0" applyFill="0" applyBorder="0" applyAlignment="0" applyProtection="0"/>
    <xf numFmtId="0" fontId="33" fillId="0" borderId="0"/>
    <xf numFmtId="9" fontId="33"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35" fillId="0" borderId="0"/>
    <xf numFmtId="0" fontId="5" fillId="0" borderId="0"/>
    <xf numFmtId="0" fontId="36" fillId="0" borderId="0" applyNumberFormat="0" applyFill="0" applyBorder="0" applyAlignment="0" applyProtection="0"/>
    <xf numFmtId="0" fontId="10" fillId="0" borderId="0"/>
    <xf numFmtId="164" fontId="10" fillId="0" borderId="0" applyFont="0" applyFill="0" applyBorder="0" applyAlignment="0" applyProtection="0"/>
    <xf numFmtId="166" fontId="5" fillId="0" borderId="0" applyFont="0" applyFill="0" applyBorder="0" applyAlignment="0" applyProtection="0"/>
    <xf numFmtId="0" fontId="37" fillId="0" borderId="0"/>
    <xf numFmtId="0" fontId="4" fillId="0" borderId="0"/>
    <xf numFmtId="0" fontId="18" fillId="0" borderId="0"/>
    <xf numFmtId="0" fontId="3" fillId="0" borderId="0"/>
    <xf numFmtId="0" fontId="3" fillId="0" borderId="0"/>
    <xf numFmtId="9" fontId="4" fillId="0" borderId="0" applyFont="0" applyFill="0" applyBorder="0" applyAlignment="0" applyProtection="0"/>
    <xf numFmtId="0" fontId="31" fillId="0" borderId="0"/>
    <xf numFmtId="0" fontId="2" fillId="0" borderId="0"/>
    <xf numFmtId="9" fontId="31" fillId="0" borderId="0" applyFont="0" applyFill="0" applyBorder="0" applyAlignment="0" applyProtection="0"/>
    <xf numFmtId="0" fontId="57" fillId="0" borderId="0" applyNumberFormat="0" applyFill="0" applyBorder="0" applyAlignment="0" applyProtection="0"/>
    <xf numFmtId="0" fontId="1" fillId="0" borderId="0"/>
    <xf numFmtId="9" fontId="1" fillId="0" borderId="0" applyFont="0" applyFill="0" applyBorder="0" applyAlignment="0" applyProtection="0"/>
    <xf numFmtId="0" fontId="18" fillId="0" borderId="0"/>
    <xf numFmtId="0" fontId="25" fillId="0" borderId="0"/>
    <xf numFmtId="9" fontId="25" fillId="0" borderId="0" applyFont="0" applyFill="0" applyBorder="0" applyAlignment="0" applyProtection="0"/>
  </cellStyleXfs>
  <cellXfs count="793">
    <xf numFmtId="0" fontId="0" fillId="0" borderId="0" xfId="0"/>
    <xf numFmtId="0" fontId="10" fillId="0" borderId="0" xfId="2" applyFont="1"/>
    <xf numFmtId="0" fontId="10" fillId="0" borderId="0" xfId="2" applyFont="1" applyBorder="1"/>
    <xf numFmtId="0" fontId="12" fillId="0" borderId="0" xfId="2" applyFont="1" applyBorder="1" applyAlignment="1">
      <alignment horizontal="center"/>
    </xf>
    <xf numFmtId="0" fontId="10" fillId="0" borderId="0" xfId="3" applyFont="1" applyBorder="1" applyAlignment="1">
      <alignment horizontal="center"/>
    </xf>
    <xf numFmtId="0" fontId="10" fillId="0" borderId="0" xfId="2" applyFont="1" applyAlignment="1">
      <alignment horizontal="center" vertical="center" wrapText="1"/>
    </xf>
    <xf numFmtId="3" fontId="13" fillId="0" borderId="11" xfId="2" applyNumberFormat="1" applyFont="1" applyBorder="1" applyAlignment="1">
      <alignment horizontal="center"/>
    </xf>
    <xf numFmtId="3" fontId="13" fillId="0" borderId="0" xfId="2" applyNumberFormat="1" applyFont="1" applyBorder="1" applyAlignment="1">
      <alignment horizontal="center"/>
    </xf>
    <xf numFmtId="3" fontId="13" fillId="0" borderId="12" xfId="2" applyNumberFormat="1" applyFont="1" applyBorder="1" applyAlignment="1">
      <alignment horizontal="center"/>
    </xf>
    <xf numFmtId="3" fontId="13" fillId="0" borderId="0" xfId="2" applyNumberFormat="1" applyFont="1" applyAlignment="1">
      <alignment horizontal="center"/>
    </xf>
    <xf numFmtId="3" fontId="15" fillId="0" borderId="11" xfId="2" applyNumberFormat="1" applyFont="1" applyBorder="1" applyAlignment="1">
      <alignment horizontal="center" vertical="center"/>
    </xf>
    <xf numFmtId="3" fontId="15" fillId="0" borderId="0" xfId="2" applyNumberFormat="1" applyFont="1" applyBorder="1" applyAlignment="1">
      <alignment horizontal="center" vertical="center"/>
    </xf>
    <xf numFmtId="3" fontId="15" fillId="0" borderId="12" xfId="2" applyNumberFormat="1" applyFont="1" applyBorder="1" applyAlignment="1">
      <alignment horizontal="center" vertical="center"/>
    </xf>
    <xf numFmtId="0" fontId="14" fillId="0" borderId="0" xfId="2" applyFont="1" applyBorder="1"/>
    <xf numFmtId="0" fontId="10" fillId="2" borderId="13" xfId="2" applyNumberFormat="1" applyFont="1" applyFill="1" applyBorder="1" applyAlignment="1"/>
    <xf numFmtId="0" fontId="21" fillId="3" borderId="14" xfId="2" applyFont="1" applyFill="1" applyBorder="1" applyAlignment="1">
      <alignment vertical="top" wrapText="1"/>
    </xf>
    <xf numFmtId="0" fontId="10" fillId="0" borderId="15" xfId="2" applyFont="1" applyBorder="1"/>
    <xf numFmtId="165" fontId="10" fillId="0" borderId="0" xfId="2" applyNumberFormat="1" applyFont="1" applyBorder="1"/>
    <xf numFmtId="0" fontId="22" fillId="0" borderId="0" xfId="2" applyFont="1"/>
    <xf numFmtId="3" fontId="22" fillId="0" borderId="0" xfId="2" applyNumberFormat="1" applyFont="1"/>
    <xf numFmtId="165" fontId="23" fillId="0" borderId="0" xfId="5" applyNumberFormat="1" applyFont="1" applyFill="1" applyBorder="1"/>
    <xf numFmtId="3" fontId="22" fillId="0" borderId="0" xfId="2" applyNumberFormat="1" applyFont="1" applyAlignment="1">
      <alignment horizontal="center"/>
    </xf>
    <xf numFmtId="167" fontId="22" fillId="0" borderId="0" xfId="2" applyNumberFormat="1" applyFont="1" applyAlignment="1">
      <alignment horizontal="center"/>
    </xf>
    <xf numFmtId="165" fontId="10" fillId="0" borderId="0" xfId="2" applyNumberFormat="1" applyFont="1"/>
    <xf numFmtId="165" fontId="22" fillId="0" borderId="0" xfId="2" applyNumberFormat="1" applyFont="1" applyBorder="1"/>
    <xf numFmtId="0" fontId="22" fillId="0" borderId="0" xfId="2" applyFont="1" applyBorder="1"/>
    <xf numFmtId="0" fontId="10" fillId="0" borderId="0" xfId="2"/>
    <xf numFmtId="167" fontId="13" fillId="0" borderId="0" xfId="2" applyNumberFormat="1" applyFont="1" applyBorder="1" applyAlignment="1">
      <alignment horizontal="center" vertical="center"/>
    </xf>
    <xf numFmtId="167" fontId="13" fillId="0" borderId="12" xfId="2" applyNumberFormat="1" applyFont="1" applyBorder="1" applyAlignment="1">
      <alignment horizontal="center" vertical="center"/>
    </xf>
    <xf numFmtId="0" fontId="13" fillId="0" borderId="0" xfId="2" applyFont="1" applyBorder="1" applyAlignment="1">
      <alignment horizontal="center" vertical="center"/>
    </xf>
    <xf numFmtId="0" fontId="13" fillId="0" borderId="12" xfId="2" applyFont="1" applyBorder="1" applyAlignment="1">
      <alignment horizontal="center" vertical="center"/>
    </xf>
    <xf numFmtId="0" fontId="10" fillId="0" borderId="0" xfId="2" applyAlignment="1">
      <alignment vertical="center"/>
    </xf>
    <xf numFmtId="0" fontId="11" fillId="0" borderId="0" xfId="2" applyFont="1" applyBorder="1" applyAlignment="1">
      <alignment horizontal="center"/>
    </xf>
    <xf numFmtId="0" fontId="25" fillId="0" borderId="0" xfId="0" applyFont="1"/>
    <xf numFmtId="0" fontId="19" fillId="0" borderId="0" xfId="0" applyFont="1"/>
    <xf numFmtId="9" fontId="19" fillId="0" borderId="17" xfId="8" applyFont="1" applyBorder="1" applyAlignment="1">
      <alignment horizontal="center" vertical="center"/>
    </xf>
    <xf numFmtId="9" fontId="19" fillId="0" borderId="6" xfId="8" applyFont="1" applyBorder="1" applyAlignment="1">
      <alignment horizontal="center" vertical="center"/>
    </xf>
    <xf numFmtId="3" fontId="25" fillId="0" borderId="0" xfId="0" applyNumberFormat="1" applyFont="1"/>
    <xf numFmtId="9" fontId="25" fillId="0" borderId="0" xfId="8" applyFont="1" applyBorder="1" applyAlignment="1">
      <alignment horizontal="center"/>
    </xf>
    <xf numFmtId="9" fontId="19" fillId="0" borderId="11" xfId="8" applyFont="1" applyBorder="1" applyAlignment="1">
      <alignment horizontal="center"/>
    </xf>
    <xf numFmtId="9" fontId="25" fillId="0" borderId="0" xfId="8" applyFont="1" applyBorder="1" applyAlignment="1">
      <alignment horizontal="center" vertical="center"/>
    </xf>
    <xf numFmtId="0" fontId="20" fillId="0" borderId="0" xfId="0" applyFont="1"/>
    <xf numFmtId="9" fontId="19" fillId="0" borderId="0" xfId="8" applyFont="1" applyBorder="1" applyAlignment="1">
      <alignment horizontal="center" vertical="center"/>
    </xf>
    <xf numFmtId="9" fontId="19" fillId="0" borderId="11" xfId="8" applyFont="1" applyBorder="1" applyAlignment="1">
      <alignment horizontal="center" vertical="center"/>
    </xf>
    <xf numFmtId="0" fontId="25" fillId="0" borderId="0" xfId="0" applyFont="1" applyBorder="1"/>
    <xf numFmtId="0" fontId="30" fillId="0" borderId="0" xfId="0" applyFont="1" applyBorder="1" applyAlignment="1">
      <alignment horizontal="center" vertical="center"/>
    </xf>
    <xf numFmtId="0" fontId="31" fillId="0" borderId="0" xfId="0" applyFont="1"/>
    <xf numFmtId="0" fontId="32" fillId="0" borderId="0" xfId="0" applyFont="1"/>
    <xf numFmtId="9" fontId="19" fillId="0" borderId="0" xfId="8" applyNumberFormat="1" applyFont="1" applyFill="1" applyBorder="1" applyAlignment="1">
      <alignment horizontal="center"/>
    </xf>
    <xf numFmtId="9" fontId="25" fillId="0" borderId="0" xfId="8" applyFont="1"/>
    <xf numFmtId="3" fontId="27" fillId="0" borderId="0" xfId="0" applyNumberFormat="1" applyFont="1" applyAlignment="1">
      <alignment horizontal="center"/>
    </xf>
    <xf numFmtId="3" fontId="15" fillId="0" borderId="11" xfId="0" applyNumberFormat="1" applyFont="1" applyFill="1" applyBorder="1" applyAlignment="1">
      <alignment horizontal="center" vertical="center"/>
    </xf>
    <xf numFmtId="169" fontId="25" fillId="0" borderId="0" xfId="8" applyNumberFormat="1" applyFont="1"/>
    <xf numFmtId="9" fontId="19" fillId="0" borderId="0" xfId="8" applyFont="1" applyBorder="1" applyAlignment="1">
      <alignment horizontal="center" vertical="center" wrapText="1"/>
    </xf>
    <xf numFmtId="9" fontId="25" fillId="0" borderId="5" xfId="8" applyFont="1" applyBorder="1" applyAlignment="1">
      <alignment horizontal="center"/>
    </xf>
    <xf numFmtId="9" fontId="25" fillId="0" borderId="0" xfId="8" applyFont="1" applyBorder="1" applyAlignment="1">
      <alignment horizontal="center" vertical="center" wrapText="1"/>
    </xf>
    <xf numFmtId="9" fontId="19" fillId="0" borderId="0" xfId="8" applyFont="1" applyBorder="1" applyAlignment="1">
      <alignment horizontal="center"/>
    </xf>
    <xf numFmtId="0" fontId="24" fillId="0" borderId="0" xfId="0" applyFont="1"/>
    <xf numFmtId="9" fontId="19" fillId="0" borderId="18" xfId="8" applyFont="1" applyBorder="1" applyAlignment="1">
      <alignment horizontal="center" vertical="center" wrapText="1"/>
    </xf>
    <xf numFmtId="9" fontId="19" fillId="0" borderId="6" xfId="8" applyFont="1" applyBorder="1" applyAlignment="1">
      <alignment horizontal="center" vertical="center" wrapText="1"/>
    </xf>
    <xf numFmtId="9" fontId="25" fillId="0" borderId="11" xfId="8" applyFont="1" applyBorder="1" applyAlignment="1">
      <alignment horizontal="center" vertical="center" wrapText="1"/>
    </xf>
    <xf numFmtId="9" fontId="25" fillId="0" borderId="11" xfId="8" applyFont="1" applyBorder="1" applyAlignment="1">
      <alignment horizontal="center"/>
    </xf>
    <xf numFmtId="9" fontId="19" fillId="0" borderId="11" xfId="8" applyFont="1" applyBorder="1" applyAlignment="1">
      <alignment horizontal="center" vertical="center" wrapText="1"/>
    </xf>
    <xf numFmtId="1" fontId="13" fillId="0" borderId="0" xfId="0" applyNumberFormat="1" applyFont="1" applyBorder="1" applyAlignment="1">
      <alignment horizontal="center" vertical="center" wrapText="1"/>
    </xf>
    <xf numFmtId="3" fontId="22" fillId="0" borderId="0" xfId="0" applyNumberFormat="1" applyFont="1" applyAlignment="1">
      <alignment horizontal="center"/>
    </xf>
    <xf numFmtId="9" fontId="25" fillId="0" borderId="0" xfId="0" applyNumberFormat="1" applyFont="1"/>
    <xf numFmtId="1" fontId="15" fillId="0" borderId="0" xfId="0" applyNumberFormat="1" applyFont="1" applyBorder="1" applyAlignment="1">
      <alignment horizontal="center" vertical="center" wrapText="1"/>
    </xf>
    <xf numFmtId="1" fontId="24" fillId="0" borderId="0" xfId="0" applyNumberFormat="1" applyFont="1"/>
    <xf numFmtId="1" fontId="22" fillId="0" borderId="0" xfId="0" applyNumberFormat="1" applyFont="1" applyAlignment="1">
      <alignment horizontal="center"/>
    </xf>
    <xf numFmtId="3" fontId="10" fillId="0" borderId="0" xfId="2" applyNumberFormat="1" applyFont="1"/>
    <xf numFmtId="0" fontId="34" fillId="0" borderId="0" xfId="2" applyFont="1"/>
    <xf numFmtId="168" fontId="25" fillId="0" borderId="0" xfId="0" applyNumberFormat="1" applyFont="1"/>
    <xf numFmtId="0" fontId="13" fillId="0" borderId="0"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2" xfId="2" applyFont="1" applyBorder="1" applyAlignment="1">
      <alignment horizontal="center" vertical="center" wrapText="1"/>
    </xf>
    <xf numFmtId="0" fontId="19" fillId="0" borderId="11" xfId="0" applyFont="1" applyBorder="1" applyAlignment="1">
      <alignment horizontal="center" vertical="center" wrapText="1"/>
    </xf>
    <xf numFmtId="0" fontId="15" fillId="0" borderId="11" xfId="0" applyFont="1" applyFill="1" applyBorder="1" applyAlignment="1">
      <alignment horizontal="center" vertical="center" wrapText="1"/>
    </xf>
    <xf numFmtId="3" fontId="26" fillId="0" borderId="0" xfId="0" applyNumberFormat="1" applyFont="1" applyAlignment="1">
      <alignment horizontal="center"/>
    </xf>
    <xf numFmtId="0" fontId="13" fillId="0" borderId="0" xfId="0" applyFont="1"/>
    <xf numFmtId="0" fontId="10" fillId="0" borderId="0" xfId="0" applyFont="1" applyBorder="1" applyAlignment="1">
      <alignment horizontal="center"/>
    </xf>
    <xf numFmtId="3" fontId="10" fillId="0" borderId="0" xfId="0" applyNumberFormat="1" applyFont="1" applyAlignment="1">
      <alignment horizontal="center"/>
    </xf>
    <xf numFmtId="0" fontId="25" fillId="0" borderId="32" xfId="0" applyFont="1" applyBorder="1"/>
    <xf numFmtId="3" fontId="15" fillId="0" borderId="23" xfId="0" applyNumberFormat="1" applyFont="1" applyFill="1" applyBorder="1" applyAlignment="1">
      <alignment horizontal="center" vertical="center" wrapText="1"/>
    </xf>
    <xf numFmtId="3" fontId="13" fillId="0" borderId="41" xfId="0" applyNumberFormat="1" applyFont="1" applyFill="1" applyBorder="1" applyAlignment="1">
      <alignment horizontal="center" vertical="center"/>
    </xf>
    <xf numFmtId="3" fontId="13" fillId="0" borderId="41" xfId="8" applyNumberFormat="1" applyFont="1" applyFill="1" applyBorder="1" applyAlignment="1">
      <alignment horizontal="center" vertical="center"/>
    </xf>
    <xf numFmtId="3" fontId="13" fillId="0" borderId="42" xfId="8" applyNumberFormat="1" applyFont="1" applyFill="1" applyBorder="1" applyAlignment="1">
      <alignment horizontal="center" vertical="center"/>
    </xf>
    <xf numFmtId="3" fontId="15"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xf>
    <xf numFmtId="3" fontId="13" fillId="0" borderId="0" xfId="0" applyNumberFormat="1" applyFont="1" applyBorder="1" applyAlignment="1">
      <alignment horizontal="center" vertical="center" wrapText="1"/>
    </xf>
    <xf numFmtId="3" fontId="13" fillId="0" borderId="41" xfId="0" applyNumberFormat="1" applyFont="1" applyBorder="1" applyAlignment="1">
      <alignment horizontal="center" vertical="center" wrapText="1"/>
    </xf>
    <xf numFmtId="3" fontId="15" fillId="0" borderId="15" xfId="0" applyNumberFormat="1" applyFont="1" applyBorder="1" applyAlignment="1">
      <alignment horizontal="center" vertical="center" wrapText="1"/>
    </xf>
    <xf numFmtId="3" fontId="13" fillId="0" borderId="36" xfId="0" applyNumberFormat="1" applyFont="1" applyBorder="1" applyAlignment="1">
      <alignment horizontal="center" vertical="center" wrapText="1"/>
    </xf>
    <xf numFmtId="3" fontId="13" fillId="0" borderId="42" xfId="0" applyNumberFormat="1" applyFont="1" applyBorder="1" applyAlignment="1">
      <alignment horizontal="center" vertical="center" wrapText="1"/>
    </xf>
    <xf numFmtId="0" fontId="30" fillId="0" borderId="11" xfId="0" applyFont="1" applyBorder="1" applyAlignment="1">
      <alignment horizontal="center" vertical="center"/>
    </xf>
    <xf numFmtId="0" fontId="27" fillId="0" borderId="0" xfId="0" applyFont="1" applyBorder="1"/>
    <xf numFmtId="0" fontId="10" fillId="0" borderId="0" xfId="0" applyFont="1" applyBorder="1"/>
    <xf numFmtId="0" fontId="22" fillId="0" borderId="0" xfId="0" applyFont="1" applyBorder="1"/>
    <xf numFmtId="0" fontId="19" fillId="0" borderId="0" xfId="0" applyFont="1" applyBorder="1"/>
    <xf numFmtId="1" fontId="22" fillId="0" borderId="0" xfId="0" applyNumberFormat="1" applyFont="1" applyBorder="1"/>
    <xf numFmtId="0" fontId="13" fillId="0" borderId="11" xfId="0" applyFont="1" applyFill="1" applyBorder="1"/>
    <xf numFmtId="0" fontId="13" fillId="0" borderId="35" xfId="0" applyFont="1" applyFill="1" applyBorder="1"/>
    <xf numFmtId="9" fontId="13" fillId="0" borderId="11" xfId="1" applyFont="1" applyBorder="1" applyAlignment="1">
      <alignment horizontal="center" vertical="center"/>
    </xf>
    <xf numFmtId="9" fontId="13" fillId="0" borderId="0" xfId="1" applyFont="1" applyBorder="1" applyAlignment="1">
      <alignment horizontal="center" vertical="center"/>
    </xf>
    <xf numFmtId="9" fontId="13" fillId="0" borderId="32" xfId="0" applyNumberFormat="1" applyFont="1" applyBorder="1" applyAlignment="1">
      <alignment horizontal="center" vertical="center"/>
    </xf>
    <xf numFmtId="3" fontId="15" fillId="0" borderId="0" xfId="8" applyNumberFormat="1" applyFont="1" applyFill="1" applyBorder="1" applyAlignment="1">
      <alignment horizontal="center" vertical="center"/>
    </xf>
    <xf numFmtId="3" fontId="13" fillId="0" borderId="0" xfId="8" applyNumberFormat="1" applyFont="1" applyFill="1" applyBorder="1" applyAlignment="1">
      <alignment horizontal="center" vertical="center"/>
    </xf>
    <xf numFmtId="3" fontId="13" fillId="0" borderId="0" xfId="0" quotePrefix="1" applyNumberFormat="1" applyFont="1" applyBorder="1" applyAlignment="1">
      <alignment horizontal="center" vertical="center"/>
    </xf>
    <xf numFmtId="3" fontId="15" fillId="0" borderId="41" xfId="0" quotePrefix="1" applyNumberFormat="1" applyFont="1" applyBorder="1" applyAlignment="1">
      <alignment horizontal="center" vertical="center"/>
    </xf>
    <xf numFmtId="9" fontId="13" fillId="0" borderId="11" xfId="1" applyFont="1" applyBorder="1" applyAlignment="1">
      <alignment horizontal="center" vertical="center" wrapText="1"/>
    </xf>
    <xf numFmtId="9" fontId="13" fillId="0" borderId="0" xfId="1" applyFont="1" applyBorder="1" applyAlignment="1">
      <alignment horizontal="center" vertical="center" wrapText="1"/>
    </xf>
    <xf numFmtId="9" fontId="13" fillId="0" borderId="32" xfId="1" applyFont="1" applyBorder="1" applyAlignment="1">
      <alignment horizontal="center" vertical="center"/>
    </xf>
    <xf numFmtId="168" fontId="13" fillId="0" borderId="41" xfId="1" applyNumberFormat="1" applyFont="1" applyBorder="1" applyAlignment="1">
      <alignment horizontal="center" vertical="center"/>
    </xf>
    <xf numFmtId="3" fontId="15" fillId="0" borderId="0" xfId="0" applyNumberFormat="1" applyFont="1" applyBorder="1" applyAlignment="1">
      <alignment horizontal="center" vertical="center"/>
    </xf>
    <xf numFmtId="3" fontId="15" fillId="0" borderId="41" xfId="0" applyNumberFormat="1" applyFont="1" applyBorder="1" applyAlignment="1">
      <alignment horizontal="center" vertical="center" wrapText="1"/>
    </xf>
    <xf numFmtId="0" fontId="34" fillId="0" borderId="0" xfId="2" applyFont="1" applyAlignment="1">
      <alignment vertical="center"/>
    </xf>
    <xf numFmtId="0" fontId="19" fillId="0" borderId="0" xfId="0" applyFont="1" applyAlignment="1">
      <alignment vertical="center"/>
    </xf>
    <xf numFmtId="3" fontId="15" fillId="0" borderId="36" xfId="0" applyNumberFormat="1" applyFont="1" applyBorder="1" applyAlignment="1">
      <alignment horizontal="center" vertical="center" wrapText="1"/>
    </xf>
    <xf numFmtId="3" fontId="15" fillId="0" borderId="42" xfId="0" applyNumberFormat="1" applyFont="1" applyBorder="1" applyAlignment="1">
      <alignment horizontal="center" vertical="center" wrapText="1"/>
    </xf>
    <xf numFmtId="0" fontId="11" fillId="0" borderId="11" xfId="0" applyFont="1" applyBorder="1" applyAlignment="1">
      <alignment horizontal="center" vertical="center"/>
    </xf>
    <xf numFmtId="0" fontId="10" fillId="0" borderId="32" xfId="0" applyFont="1" applyBorder="1" applyAlignment="1">
      <alignment horizontal="center"/>
    </xf>
    <xf numFmtId="0" fontId="38"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6" xfId="0" applyFont="1" applyBorder="1"/>
    <xf numFmtId="0" fontId="15" fillId="0" borderId="39" xfId="0" applyFont="1" applyFill="1" applyBorder="1" applyAlignment="1">
      <alignment horizontal="center" vertical="center"/>
    </xf>
    <xf numFmtId="3" fontId="15" fillId="0" borderId="56" xfId="0" applyNumberFormat="1" applyFont="1" applyBorder="1" applyAlignment="1">
      <alignment horizontal="center" vertical="center" wrapText="1"/>
    </xf>
    <xf numFmtId="1" fontId="15" fillId="0" borderId="39" xfId="0" applyNumberFormat="1" applyFont="1" applyBorder="1" applyAlignment="1">
      <alignment horizontal="center" vertical="center" wrapText="1"/>
    </xf>
    <xf numFmtId="1" fontId="15" fillId="0" borderId="34" xfId="0" applyNumberFormat="1" applyFont="1" applyBorder="1" applyAlignment="1">
      <alignment horizontal="center" vertical="center" wrapText="1"/>
    </xf>
    <xf numFmtId="1" fontId="15" fillId="0" borderId="32" xfId="0" applyNumberFormat="1" applyFont="1" applyBorder="1" applyAlignment="1">
      <alignment horizontal="center" vertical="center" wrapText="1"/>
    </xf>
    <xf numFmtId="3" fontId="15" fillId="0" borderId="15" xfId="0" applyNumberFormat="1" applyFont="1" applyBorder="1" applyAlignment="1">
      <alignment horizontal="center" vertical="center"/>
    </xf>
    <xf numFmtId="0" fontId="13" fillId="0" borderId="11" xfId="0" applyFont="1" applyBorder="1"/>
    <xf numFmtId="0" fontId="13" fillId="0" borderId="0" xfId="0" applyFont="1" applyBorder="1"/>
    <xf numFmtId="0" fontId="13" fillId="0" borderId="32" xfId="0" applyFont="1" applyBorder="1"/>
    <xf numFmtId="168" fontId="15" fillId="0" borderId="56" xfId="0" applyNumberFormat="1" applyFont="1" applyBorder="1" applyAlignment="1">
      <alignment horizontal="center" vertical="center" wrapText="1"/>
    </xf>
    <xf numFmtId="3" fontId="15" fillId="0" borderId="11" xfId="0" applyNumberFormat="1" applyFont="1" applyBorder="1" applyAlignment="1">
      <alignment horizontal="center" vertical="center" wrapText="1"/>
    </xf>
    <xf numFmtId="9" fontId="15" fillId="0" borderId="11" xfId="1" applyFont="1" applyBorder="1" applyAlignment="1">
      <alignment horizontal="center" vertical="center"/>
    </xf>
    <xf numFmtId="9" fontId="15" fillId="0" borderId="0" xfId="1" applyFont="1" applyBorder="1" applyAlignment="1">
      <alignment horizontal="center" vertical="center"/>
    </xf>
    <xf numFmtId="9" fontId="15" fillId="0" borderId="32" xfId="0" applyNumberFormat="1" applyFont="1" applyBorder="1" applyAlignment="1">
      <alignment horizontal="center" vertical="center"/>
    </xf>
    <xf numFmtId="3" fontId="15" fillId="0" borderId="0" xfId="0" quotePrefix="1" applyNumberFormat="1" applyFont="1" applyBorder="1" applyAlignment="1">
      <alignment horizontal="center" vertical="center"/>
    </xf>
    <xf numFmtId="9" fontId="15" fillId="0" borderId="11" xfId="1" applyFont="1" applyBorder="1" applyAlignment="1">
      <alignment horizontal="center" vertical="center" wrapText="1"/>
    </xf>
    <xf numFmtId="9" fontId="15" fillId="0" borderId="0" xfId="1" applyFont="1" applyBorder="1" applyAlignment="1">
      <alignment horizontal="center" vertical="center" wrapText="1"/>
    </xf>
    <xf numFmtId="9" fontId="15" fillId="0" borderId="32" xfId="1" applyFont="1" applyBorder="1" applyAlignment="1">
      <alignment horizontal="center" vertical="center"/>
    </xf>
    <xf numFmtId="3" fontId="15" fillId="0" borderId="41" xfId="0" applyNumberFormat="1" applyFont="1" applyBorder="1" applyAlignment="1">
      <alignment horizontal="center" vertical="center"/>
    </xf>
    <xf numFmtId="0" fontId="15" fillId="0" borderId="11" xfId="0" applyFont="1" applyBorder="1" applyAlignment="1">
      <alignment vertical="center"/>
    </xf>
    <xf numFmtId="9" fontId="15" fillId="0" borderId="0" xfId="1" applyFont="1" applyBorder="1" applyAlignment="1">
      <alignment vertical="center"/>
    </xf>
    <xf numFmtId="3" fontId="15" fillId="0" borderId="32" xfId="0" applyNumberFormat="1" applyFont="1" applyBorder="1" applyAlignment="1">
      <alignment horizontal="center" vertical="center" wrapText="1"/>
    </xf>
    <xf numFmtId="9" fontId="15" fillId="0" borderId="32" xfId="1" applyFont="1" applyBorder="1" applyAlignment="1">
      <alignment vertical="center"/>
    </xf>
    <xf numFmtId="168" fontId="15" fillId="0" borderId="41" xfId="0" applyNumberFormat="1" applyFont="1" applyBorder="1" applyAlignment="1">
      <alignment horizontal="center" vertical="center" wrapText="1"/>
    </xf>
    <xf numFmtId="3" fontId="13" fillId="0" borderId="32" xfId="0" applyNumberFormat="1" applyFont="1" applyBorder="1" applyAlignment="1">
      <alignment horizontal="center" vertical="center" wrapText="1"/>
    </xf>
    <xf numFmtId="9" fontId="13" fillId="0" borderId="35" xfId="1" applyFont="1" applyBorder="1" applyAlignment="1">
      <alignment horizontal="center" vertical="center"/>
    </xf>
    <xf numFmtId="9" fontId="13" fillId="0" borderId="36" xfId="1" applyFont="1" applyBorder="1" applyAlignment="1">
      <alignment horizontal="center" vertical="center"/>
    </xf>
    <xf numFmtId="9" fontId="13" fillId="0" borderId="40" xfId="0" applyNumberFormat="1" applyFont="1" applyBorder="1" applyAlignment="1">
      <alignment horizontal="center" vertical="center"/>
    </xf>
    <xf numFmtId="3" fontId="15" fillId="0" borderId="36" xfId="8" applyNumberFormat="1" applyFont="1" applyFill="1" applyBorder="1" applyAlignment="1">
      <alignment horizontal="center" vertical="center"/>
    </xf>
    <xf numFmtId="3" fontId="13" fillId="0" borderId="36" xfId="0" applyNumberFormat="1" applyFont="1" applyBorder="1" applyAlignment="1">
      <alignment horizontal="center" vertical="center"/>
    </xf>
    <xf numFmtId="3" fontId="15" fillId="0" borderId="47" xfId="0" applyNumberFormat="1" applyFont="1" applyBorder="1" applyAlignment="1">
      <alignment horizontal="center" vertical="center" wrapText="1"/>
    </xf>
    <xf numFmtId="3" fontId="15" fillId="0" borderId="42" xfId="0" applyNumberFormat="1" applyFont="1" applyBorder="1" applyAlignment="1">
      <alignment horizontal="center" vertical="center"/>
    </xf>
    <xf numFmtId="3" fontId="15" fillId="0" borderId="36" xfId="0" applyNumberFormat="1" applyFont="1" applyBorder="1" applyAlignment="1">
      <alignment horizontal="center" vertical="center"/>
    </xf>
    <xf numFmtId="9" fontId="13" fillId="0" borderId="35" xfId="1" applyFont="1" applyBorder="1" applyAlignment="1">
      <alignment horizontal="center" vertical="center" wrapText="1"/>
    </xf>
    <xf numFmtId="9" fontId="13" fillId="0" borderId="36" xfId="1" applyFont="1" applyBorder="1" applyAlignment="1">
      <alignment horizontal="center" vertical="center" wrapText="1"/>
    </xf>
    <xf numFmtId="9" fontId="13" fillId="0" borderId="40" xfId="1" applyFont="1" applyBorder="1" applyAlignment="1">
      <alignment horizontal="center" vertical="center"/>
    </xf>
    <xf numFmtId="168" fontId="13" fillId="0" borderId="42" xfId="1" applyNumberFormat="1" applyFont="1" applyBorder="1" applyAlignment="1">
      <alignment horizontal="center" vertical="center"/>
    </xf>
    <xf numFmtId="0" fontId="15" fillId="0" borderId="35" xfId="0" applyFont="1" applyFill="1" applyBorder="1" applyAlignment="1">
      <alignment horizontal="center" vertical="center" wrapText="1"/>
    </xf>
    <xf numFmtId="3" fontId="15" fillId="0" borderId="42" xfId="8" applyNumberFormat="1" applyFont="1" applyFill="1" applyBorder="1" applyAlignment="1">
      <alignment horizontal="center" vertical="center"/>
    </xf>
    <xf numFmtId="9" fontId="15" fillId="0" borderId="35" xfId="1" applyFont="1" applyBorder="1" applyAlignment="1">
      <alignment horizontal="center" vertical="center"/>
    </xf>
    <xf numFmtId="9" fontId="15" fillId="0" borderId="36" xfId="1" applyFont="1" applyBorder="1" applyAlignment="1">
      <alignment horizontal="center" vertical="center"/>
    </xf>
    <xf numFmtId="9" fontId="15" fillId="0" borderId="40" xfId="0" applyNumberFormat="1" applyFont="1" applyBorder="1" applyAlignment="1">
      <alignment horizontal="center" vertical="center"/>
    </xf>
    <xf numFmtId="9" fontId="15" fillId="0" borderId="35" xfId="1" applyFont="1" applyBorder="1" applyAlignment="1">
      <alignment horizontal="center" vertical="center" wrapText="1"/>
    </xf>
    <xf numFmtId="9" fontId="15" fillId="0" borderId="36" xfId="1" applyFont="1" applyBorder="1" applyAlignment="1">
      <alignment horizontal="center" vertical="center" wrapText="1"/>
    </xf>
    <xf numFmtId="0" fontId="15" fillId="0" borderId="40" xfId="0" applyFont="1" applyBorder="1" applyAlignment="1">
      <alignment horizontal="center" vertical="center"/>
    </xf>
    <xf numFmtId="168" fontId="15" fillId="0" borderId="42" xfId="1" applyNumberFormat="1" applyFont="1" applyBorder="1" applyAlignment="1">
      <alignment horizontal="center" vertical="center"/>
    </xf>
    <xf numFmtId="0" fontId="15" fillId="0" borderId="22" xfId="0" applyFont="1" applyFill="1" applyBorder="1" applyAlignment="1">
      <alignment horizontal="center" vertical="center" wrapText="1"/>
    </xf>
    <xf numFmtId="3" fontId="15" fillId="0" borderId="38" xfId="0" applyNumberFormat="1" applyFont="1" applyFill="1" applyBorder="1" applyAlignment="1">
      <alignment horizontal="center" vertical="center" wrapText="1"/>
    </xf>
    <xf numFmtId="3" fontId="15" fillId="0" borderId="22" xfId="0" applyNumberFormat="1" applyFont="1" applyFill="1" applyBorder="1" applyAlignment="1">
      <alignment horizontal="center" vertical="center" wrapText="1"/>
    </xf>
    <xf numFmtId="3" fontId="15" fillId="0" borderId="24" xfId="0" applyNumberFormat="1" applyFont="1" applyFill="1" applyBorder="1" applyAlignment="1">
      <alignment horizontal="center" vertical="center" wrapText="1"/>
    </xf>
    <xf numFmtId="9" fontId="15" fillId="0" borderId="22" xfId="1" applyFont="1" applyBorder="1" applyAlignment="1">
      <alignment horizontal="center" vertical="center" wrapText="1"/>
    </xf>
    <xf numFmtId="9" fontId="15" fillId="0" borderId="23" xfId="1" applyFont="1" applyBorder="1" applyAlignment="1">
      <alignment horizontal="center" vertical="center" wrapText="1"/>
    </xf>
    <xf numFmtId="9" fontId="15" fillId="0" borderId="23" xfId="1" applyFont="1" applyBorder="1" applyAlignment="1">
      <alignment horizontal="center" vertical="center"/>
    </xf>
    <xf numFmtId="0" fontId="15" fillId="0" borderId="24" xfId="0" applyFont="1" applyBorder="1" applyAlignment="1">
      <alignment horizontal="center" vertical="center"/>
    </xf>
    <xf numFmtId="168" fontId="15" fillId="0" borderId="38" xfId="0" applyNumberFormat="1" applyFont="1" applyFill="1" applyBorder="1" applyAlignment="1">
      <alignment horizontal="center" vertical="center" wrapText="1"/>
    </xf>
    <xf numFmtId="0" fontId="17" fillId="0" borderId="0" xfId="0" applyFont="1" applyFill="1" applyBorder="1"/>
    <xf numFmtId="9" fontId="40" fillId="0" borderId="0" xfId="8" applyFont="1" applyFill="1" applyBorder="1" applyAlignment="1">
      <alignment horizontal="center"/>
    </xf>
    <xf numFmtId="0" fontId="38" fillId="0" borderId="0" xfId="0" applyFont="1"/>
    <xf numFmtId="0" fontId="15" fillId="0" borderId="0" xfId="0" applyFont="1"/>
    <xf numFmtId="9" fontId="13" fillId="0" borderId="0" xfId="1" applyFont="1"/>
    <xf numFmtId="1" fontId="13" fillId="0" borderId="0" xfId="1" applyNumberFormat="1" applyFont="1"/>
    <xf numFmtId="0" fontId="10" fillId="0" borderId="36" xfId="0" applyFont="1" applyBorder="1" applyAlignment="1">
      <alignment horizontal="center"/>
    </xf>
    <xf numFmtId="1" fontId="13" fillId="0" borderId="10" xfId="0" applyNumberFormat="1" applyFont="1" applyBorder="1" applyAlignment="1">
      <alignment horizontal="center" vertical="center" wrapText="1"/>
    </xf>
    <xf numFmtId="0" fontId="13" fillId="0" borderId="10" xfId="0" applyFont="1" applyBorder="1"/>
    <xf numFmtId="3" fontId="15" fillId="0" borderId="25" xfId="0" applyNumberFormat="1" applyFont="1" applyBorder="1" applyAlignment="1">
      <alignment horizontal="center" vertical="center"/>
    </xf>
    <xf numFmtId="3" fontId="15" fillId="0" borderId="49" xfId="0" applyNumberFormat="1" applyFont="1" applyBorder="1" applyAlignment="1">
      <alignment horizontal="center" vertical="center"/>
    </xf>
    <xf numFmtId="0" fontId="13" fillId="0" borderId="40" xfId="0" applyFont="1" applyBorder="1" applyAlignment="1">
      <alignment horizontal="center" vertical="center" wrapText="1"/>
    </xf>
    <xf numFmtId="0" fontId="15" fillId="0" borderId="35" xfId="0" applyFont="1" applyBorder="1" applyAlignment="1">
      <alignment horizontal="center" vertical="center" wrapText="1"/>
    </xf>
    <xf numFmtId="0" fontId="12" fillId="0" borderId="11" xfId="2" applyFont="1" applyBorder="1" applyAlignment="1">
      <alignment horizontal="center"/>
    </xf>
    <xf numFmtId="0" fontId="12" fillId="0" borderId="32" xfId="2" applyFont="1" applyBorder="1" applyAlignment="1">
      <alignment horizontal="center"/>
    </xf>
    <xf numFmtId="0" fontId="10" fillId="0" borderId="36" xfId="3" applyFont="1" applyBorder="1" applyAlignment="1">
      <alignment horizontal="center"/>
    </xf>
    <xf numFmtId="0" fontId="10" fillId="0" borderId="40" xfId="3" applyFont="1" applyBorder="1" applyAlignment="1">
      <alignment horizontal="center"/>
    </xf>
    <xf numFmtId="0" fontId="14" fillId="0" borderId="11" xfId="2" applyFont="1" applyBorder="1"/>
    <xf numFmtId="0" fontId="16" fillId="0" borderId="60" xfId="2" applyFont="1" applyBorder="1" applyAlignment="1">
      <alignment horizontal="center" vertical="center" wrapText="1"/>
    </xf>
    <xf numFmtId="0" fontId="17" fillId="0" borderId="34" xfId="2" applyFont="1" applyBorder="1" applyAlignment="1">
      <alignment horizontal="center" vertical="center" wrapText="1"/>
    </xf>
    <xf numFmtId="0" fontId="14" fillId="0" borderId="11" xfId="2" applyFont="1" applyBorder="1" applyAlignment="1">
      <alignment horizontal="center" vertical="center" wrapText="1"/>
    </xf>
    <xf numFmtId="0" fontId="15" fillId="0" borderId="56" xfId="2" applyFont="1" applyBorder="1" applyAlignment="1">
      <alignment horizontal="center" vertical="center" wrapText="1"/>
    </xf>
    <xf numFmtId="3" fontId="15" fillId="0" borderId="39" xfId="2" applyNumberFormat="1" applyFont="1" applyBorder="1" applyAlignment="1">
      <alignment horizontal="center" vertical="center" wrapText="1"/>
    </xf>
    <xf numFmtId="3" fontId="15" fillId="0" borderId="34" xfId="2" applyNumberFormat="1" applyFont="1" applyBorder="1" applyAlignment="1">
      <alignment horizontal="center" vertical="center" wrapText="1"/>
    </xf>
    <xf numFmtId="3" fontId="15" fillId="0" borderId="55" xfId="2" applyNumberFormat="1" applyFont="1" applyBorder="1" applyAlignment="1">
      <alignment horizontal="center" vertical="center" wrapText="1"/>
    </xf>
    <xf numFmtId="3" fontId="15" fillId="0" borderId="50" xfId="2" applyNumberFormat="1" applyFont="1" applyBorder="1" applyAlignment="1">
      <alignment horizontal="center" vertical="center" wrapText="1"/>
    </xf>
    <xf numFmtId="0" fontId="13" fillId="0" borderId="11" xfId="2" applyFont="1" applyBorder="1"/>
    <xf numFmtId="3" fontId="13" fillId="0" borderId="61" xfId="2" applyNumberFormat="1" applyFont="1" applyBorder="1" applyAlignment="1">
      <alignment horizontal="center"/>
    </xf>
    <xf numFmtId="0" fontId="15" fillId="0" borderId="11" xfId="2" applyFont="1" applyBorder="1" applyAlignment="1">
      <alignment vertical="center" wrapText="1"/>
    </xf>
    <xf numFmtId="3" fontId="15" fillId="0" borderId="32" xfId="2" applyNumberFormat="1" applyFont="1" applyBorder="1" applyAlignment="1">
      <alignment horizontal="center" vertical="center"/>
    </xf>
    <xf numFmtId="3" fontId="13" fillId="0" borderId="61" xfId="2" applyNumberFormat="1" applyFont="1" applyFill="1" applyBorder="1" applyAlignment="1">
      <alignment horizontal="center"/>
    </xf>
    <xf numFmtId="0" fontId="13" fillId="0" borderId="11" xfId="4" applyFont="1" applyBorder="1"/>
    <xf numFmtId="3" fontId="15" fillId="0" borderId="61" xfId="2" applyNumberFormat="1" applyFont="1" applyBorder="1" applyAlignment="1">
      <alignment horizontal="center" vertical="center"/>
    </xf>
    <xf numFmtId="0" fontId="20" fillId="0" borderId="11" xfId="4" applyFont="1" applyBorder="1"/>
    <xf numFmtId="0" fontId="13" fillId="0" borderId="11" xfId="2" applyFont="1" applyFill="1" applyBorder="1"/>
    <xf numFmtId="0" fontId="15" fillId="0" borderId="11" xfId="2" applyFont="1" applyBorder="1" applyAlignment="1">
      <alignment horizontal="center" vertical="center"/>
    </xf>
    <xf numFmtId="0" fontId="13" fillId="0" borderId="35" xfId="2" applyFont="1" applyBorder="1"/>
    <xf numFmtId="3" fontId="13" fillId="0" borderId="35" xfId="2" applyNumberFormat="1" applyFont="1" applyBorder="1" applyAlignment="1">
      <alignment horizontal="center"/>
    </xf>
    <xf numFmtId="3" fontId="13" fillId="0" borderId="36" xfId="2" applyNumberFormat="1" applyFont="1" applyBorder="1" applyAlignment="1">
      <alignment horizontal="center"/>
    </xf>
    <xf numFmtId="3" fontId="13" fillId="0" borderId="59" xfId="2" applyNumberFormat="1" applyFont="1" applyBorder="1" applyAlignment="1">
      <alignment horizontal="center"/>
    </xf>
    <xf numFmtId="3" fontId="13" fillId="0" borderId="54" xfId="2" applyNumberFormat="1" applyFont="1" applyBorder="1" applyAlignment="1">
      <alignment horizontal="center"/>
    </xf>
    <xf numFmtId="0" fontId="15" fillId="0" borderId="22" xfId="2" applyFont="1" applyBorder="1" applyAlignment="1">
      <alignment horizontal="center" vertical="center"/>
    </xf>
    <xf numFmtId="3" fontId="15" fillId="0" borderId="22" xfId="2" applyNumberFormat="1" applyFont="1" applyBorder="1" applyAlignment="1">
      <alignment horizontal="center" vertical="center"/>
    </xf>
    <xf numFmtId="3" fontId="15" fillId="0" borderId="23" xfId="2" applyNumberFormat="1" applyFont="1" applyBorder="1" applyAlignment="1">
      <alignment horizontal="center" vertical="center"/>
    </xf>
    <xf numFmtId="3" fontId="15" fillId="0" borderId="62" xfId="2" applyNumberFormat="1" applyFont="1" applyBorder="1" applyAlignment="1">
      <alignment horizontal="center" vertical="center"/>
    </xf>
    <xf numFmtId="3" fontId="15" fillId="0" borderId="63" xfId="2" applyNumberFormat="1" applyFont="1" applyBorder="1" applyAlignment="1">
      <alignment horizontal="center" vertical="center"/>
    </xf>
    <xf numFmtId="0" fontId="11" fillId="0" borderId="32" xfId="2" applyFont="1" applyBorder="1" applyAlignment="1">
      <alignment horizontal="center"/>
    </xf>
    <xf numFmtId="0" fontId="10" fillId="0" borderId="32" xfId="3" applyFont="1" applyBorder="1" applyAlignment="1">
      <alignment horizontal="center"/>
    </xf>
    <xf numFmtId="0" fontId="13" fillId="0" borderId="39" xfId="2" applyFont="1" applyBorder="1"/>
    <xf numFmtId="0" fontId="13" fillId="0" borderId="36" xfId="2" applyFont="1" applyBorder="1" applyAlignment="1">
      <alignment horizontal="center" vertical="center" wrapText="1"/>
    </xf>
    <xf numFmtId="0" fontId="15" fillId="0" borderId="61" xfId="2" applyFont="1" applyBorder="1" applyAlignment="1">
      <alignment horizontal="center" vertical="center" wrapText="1"/>
    </xf>
    <xf numFmtId="0" fontId="13" fillId="0" borderId="39" xfId="2" applyFont="1" applyBorder="1" applyAlignment="1">
      <alignment vertical="center"/>
    </xf>
    <xf numFmtId="167" fontId="13" fillId="0" borderId="55" xfId="2" applyNumberFormat="1" applyFont="1" applyBorder="1" applyAlignment="1">
      <alignment horizontal="center" vertical="center"/>
    </xf>
    <xf numFmtId="167" fontId="13" fillId="0" borderId="34" xfId="2" applyNumberFormat="1" applyFont="1" applyBorder="1" applyAlignment="1">
      <alignment horizontal="center" vertical="center"/>
    </xf>
    <xf numFmtId="167" fontId="15" fillId="0" borderId="50" xfId="2" applyNumberFormat="1" applyFont="1" applyBorder="1" applyAlignment="1">
      <alignment horizontal="center" vertical="center"/>
    </xf>
    <xf numFmtId="0" fontId="13" fillId="0" borderId="11" xfId="2" applyFont="1" applyBorder="1" applyAlignment="1">
      <alignment vertical="center"/>
    </xf>
    <xf numFmtId="167" fontId="15" fillId="0" borderId="61" xfId="2" applyNumberFormat="1" applyFont="1" applyBorder="1" applyAlignment="1">
      <alignment horizontal="center" vertical="center"/>
    </xf>
    <xf numFmtId="0" fontId="15" fillId="0" borderId="61" xfId="2" applyFont="1" applyBorder="1" applyAlignment="1">
      <alignment horizontal="center" vertical="center"/>
    </xf>
    <xf numFmtId="167" fontId="15" fillId="0" borderId="43" xfId="2" applyNumberFormat="1" applyFont="1" applyBorder="1" applyAlignment="1">
      <alignment vertical="center"/>
    </xf>
    <xf numFmtId="167" fontId="15" fillId="0" borderId="46" xfId="2" applyNumberFormat="1" applyFont="1" applyBorder="1" applyAlignment="1">
      <alignment horizontal="center" vertical="center"/>
    </xf>
    <xf numFmtId="167" fontId="15" fillId="0" borderId="44" xfId="2" applyNumberFormat="1" applyFont="1" applyBorder="1" applyAlignment="1">
      <alignment horizontal="center" vertical="center"/>
    </xf>
    <xf numFmtId="167" fontId="15" fillId="0" borderId="64" xfId="2" applyNumberFormat="1" applyFont="1" applyBorder="1" applyAlignment="1">
      <alignment horizontal="center" vertical="center"/>
    </xf>
    <xf numFmtId="3" fontId="15" fillId="0" borderId="69" xfId="0" applyNumberFormat="1" applyFont="1" applyBorder="1" applyAlignment="1">
      <alignment horizontal="center" vertical="center" wrapText="1"/>
    </xf>
    <xf numFmtId="0" fontId="15" fillId="0" borderId="36" xfId="0" applyFont="1" applyBorder="1" applyAlignment="1">
      <alignment horizontal="center" vertical="center" wrapText="1"/>
    </xf>
    <xf numFmtId="0" fontId="15" fillId="0" borderId="40" xfId="0" applyFont="1" applyBorder="1" applyAlignment="1">
      <alignment horizontal="center" vertical="center" wrapText="1"/>
    </xf>
    <xf numFmtId="0" fontId="13" fillId="0" borderId="36" xfId="0" applyFont="1" applyFill="1" applyBorder="1" applyAlignment="1">
      <alignment horizontal="center" vertical="center" wrapText="1"/>
    </xf>
    <xf numFmtId="4" fontId="13" fillId="0" borderId="0" xfId="0" applyNumberFormat="1" applyFont="1" applyBorder="1" applyAlignment="1">
      <alignment horizontal="center" vertical="center" wrapText="1"/>
    </xf>
    <xf numFmtId="3" fontId="15" fillId="0" borderId="70" xfId="0" applyNumberFormat="1" applyFont="1" applyBorder="1" applyAlignment="1">
      <alignment horizontal="center" vertical="center"/>
    </xf>
    <xf numFmtId="3" fontId="15" fillId="0" borderId="11" xfId="0" applyNumberFormat="1" applyFont="1" applyBorder="1" applyAlignment="1">
      <alignment horizontal="center" vertical="center"/>
    </xf>
    <xf numFmtId="3" fontId="15" fillId="0" borderId="72" xfId="0" applyNumberFormat="1" applyFont="1" applyBorder="1" applyAlignment="1">
      <alignment horizontal="center" vertical="center"/>
    </xf>
    <xf numFmtId="3" fontId="15" fillId="0" borderId="35" xfId="0" applyNumberFormat="1" applyFont="1" applyBorder="1" applyAlignment="1">
      <alignment horizontal="center" vertical="center"/>
    </xf>
    <xf numFmtId="3" fontId="15" fillId="0" borderId="71" xfId="8" applyNumberFormat="1" applyFont="1" applyFill="1" applyBorder="1" applyAlignment="1">
      <alignment horizontal="center" vertical="center"/>
    </xf>
    <xf numFmtId="0" fontId="34" fillId="0" borderId="0" xfId="0" applyFont="1" applyBorder="1" applyAlignment="1">
      <alignment horizontal="center"/>
    </xf>
    <xf numFmtId="168" fontId="19" fillId="0" borderId="0" xfId="0" applyNumberFormat="1" applyFont="1"/>
    <xf numFmtId="0" fontId="25" fillId="0" borderId="0" xfId="23" applyFont="1"/>
    <xf numFmtId="1" fontId="25" fillId="0" borderId="0" xfId="23" applyNumberFormat="1" applyFont="1"/>
    <xf numFmtId="170" fontId="25" fillId="0" borderId="0" xfId="23" applyNumberFormat="1" applyFont="1"/>
    <xf numFmtId="168" fontId="25" fillId="0" borderId="0" xfId="23" applyNumberFormat="1" applyFont="1"/>
    <xf numFmtId="0" fontId="19" fillId="0" borderId="0" xfId="23" applyFont="1"/>
    <xf numFmtId="3" fontId="19" fillId="0" borderId="26" xfId="23" applyNumberFormat="1" applyFont="1" applyBorder="1" applyAlignment="1">
      <alignment horizontal="center" vertical="center" wrapText="1"/>
    </xf>
    <xf numFmtId="3" fontId="19" fillId="0" borderId="19" xfId="23" applyNumberFormat="1" applyFont="1" applyBorder="1" applyAlignment="1">
      <alignment horizontal="center" vertical="center" wrapText="1"/>
    </xf>
    <xf numFmtId="3" fontId="19" fillId="0" borderId="18" xfId="23" applyNumberFormat="1" applyFont="1" applyBorder="1" applyAlignment="1">
      <alignment horizontal="center" vertical="center" wrapText="1"/>
    </xf>
    <xf numFmtId="3" fontId="19" fillId="0" borderId="31" xfId="23" applyNumberFormat="1" applyFont="1" applyBorder="1" applyAlignment="1">
      <alignment horizontal="center" vertical="center" wrapText="1"/>
    </xf>
    <xf numFmtId="3" fontId="19" fillId="0" borderId="17" xfId="23" applyNumberFormat="1" applyFont="1" applyBorder="1" applyAlignment="1">
      <alignment horizontal="center" vertical="center" wrapText="1"/>
    </xf>
    <xf numFmtId="3" fontId="19" fillId="0" borderId="33" xfId="9" applyNumberFormat="1" applyFont="1" applyBorder="1" applyAlignment="1">
      <alignment horizontal="center" vertical="center"/>
    </xf>
    <xf numFmtId="0" fontId="19" fillId="0" borderId="16" xfId="23" applyFont="1" applyBorder="1" applyAlignment="1">
      <alignment horizontal="center" vertical="center"/>
    </xf>
    <xf numFmtId="9" fontId="25" fillId="0" borderId="0" xfId="23" applyNumberFormat="1" applyFont="1"/>
    <xf numFmtId="0" fontId="27" fillId="0" borderId="0" xfId="23" applyFont="1" applyAlignment="1">
      <alignment horizontal="center" vertical="center"/>
    </xf>
    <xf numFmtId="3" fontId="19" fillId="0" borderId="5" xfId="23" applyNumberFormat="1" applyFont="1" applyBorder="1" applyAlignment="1">
      <alignment horizontal="center" vertical="center"/>
    </xf>
    <xf numFmtId="3" fontId="19" fillId="0" borderId="55" xfId="23" applyNumberFormat="1" applyFont="1" applyBorder="1" applyAlignment="1">
      <alignment horizontal="center" vertical="center"/>
    </xf>
    <xf numFmtId="3" fontId="19" fillId="0" borderId="0" xfId="23" applyNumberFormat="1" applyFont="1" applyBorder="1" applyAlignment="1">
      <alignment horizontal="center" vertical="center"/>
    </xf>
    <xf numFmtId="3" fontId="19" fillId="0" borderId="37" xfId="23" applyNumberFormat="1" applyFont="1" applyBorder="1" applyAlignment="1">
      <alignment horizontal="center" vertical="center"/>
    </xf>
    <xf numFmtId="3" fontId="19" fillId="0" borderId="72" xfId="23" applyNumberFormat="1" applyFont="1" applyBorder="1" applyAlignment="1">
      <alignment horizontal="center" vertical="center"/>
    </xf>
    <xf numFmtId="3" fontId="19" fillId="0" borderId="11" xfId="23" applyNumberFormat="1" applyFont="1" applyBorder="1" applyAlignment="1">
      <alignment horizontal="center" vertical="center"/>
    </xf>
    <xf numFmtId="3" fontId="19" fillId="0" borderId="15" xfId="9" applyNumberFormat="1" applyFont="1" applyBorder="1" applyAlignment="1">
      <alignment horizontal="center" vertical="center"/>
    </xf>
    <xf numFmtId="3" fontId="19" fillId="0" borderId="32" xfId="23" applyNumberFormat="1" applyFont="1" applyBorder="1" applyAlignment="1">
      <alignment horizontal="center" vertical="center"/>
    </xf>
    <xf numFmtId="3" fontId="19" fillId="0" borderId="12" xfId="23" applyNumberFormat="1" applyFont="1" applyBorder="1" applyAlignment="1">
      <alignment horizontal="center" vertical="center"/>
    </xf>
    <xf numFmtId="0" fontId="19" fillId="0" borderId="4" xfId="23" applyFont="1" applyBorder="1" applyAlignment="1">
      <alignment horizontal="center" vertical="center"/>
    </xf>
    <xf numFmtId="10" fontId="25" fillId="0" borderId="0" xfId="8" applyNumberFormat="1" applyFont="1"/>
    <xf numFmtId="3" fontId="19" fillId="0" borderId="65" xfId="23" applyNumberFormat="1" applyFont="1" applyBorder="1" applyAlignment="1">
      <alignment horizontal="center" vertical="center" wrapText="1"/>
    </xf>
    <xf numFmtId="3" fontId="19" fillId="0" borderId="59" xfId="23" applyNumberFormat="1" applyFont="1" applyBorder="1" applyAlignment="1">
      <alignment horizontal="center" vertical="center" wrapText="1"/>
    </xf>
    <xf numFmtId="3" fontId="19" fillId="0" borderId="35" xfId="23" applyNumberFormat="1" applyFont="1" applyBorder="1" applyAlignment="1">
      <alignment horizontal="center" vertical="center"/>
    </xf>
    <xf numFmtId="3" fontId="25" fillId="0" borderId="0" xfId="9" applyNumberFormat="1" applyFont="1" applyBorder="1" applyAlignment="1">
      <alignment horizontal="center" vertical="center"/>
    </xf>
    <xf numFmtId="3" fontId="19" fillId="0" borderId="47" xfId="23" applyNumberFormat="1" applyFont="1" applyBorder="1" applyAlignment="1">
      <alignment horizontal="center" vertical="center" wrapText="1"/>
    </xf>
    <xf numFmtId="3" fontId="19" fillId="0" borderId="42" xfId="9" applyNumberFormat="1" applyFont="1" applyBorder="1" applyAlignment="1">
      <alignment horizontal="center" vertical="center"/>
    </xf>
    <xf numFmtId="3" fontId="19" fillId="0" borderId="40" xfId="23" applyNumberFormat="1" applyFont="1" applyBorder="1" applyAlignment="1">
      <alignment horizontal="center" vertical="center" wrapText="1"/>
    </xf>
    <xf numFmtId="3" fontId="19" fillId="0" borderId="6" xfId="23" applyNumberFormat="1" applyFont="1" applyBorder="1" applyAlignment="1">
      <alignment horizontal="center" vertical="center" wrapText="1"/>
    </xf>
    <xf numFmtId="3" fontId="19" fillId="0" borderId="6" xfId="23" applyNumberFormat="1" applyFont="1" applyBorder="1" applyAlignment="1">
      <alignment horizontal="center" vertical="center"/>
    </xf>
    <xf numFmtId="3" fontId="19" fillId="0" borderId="47" xfId="9" applyNumberFormat="1" applyFont="1" applyBorder="1" applyAlignment="1">
      <alignment horizontal="center" vertical="center"/>
    </xf>
    <xf numFmtId="0" fontId="19" fillId="0" borderId="48" xfId="23" applyFont="1" applyBorder="1" applyAlignment="1">
      <alignment horizontal="center" vertical="center"/>
    </xf>
    <xf numFmtId="3" fontId="25" fillId="0" borderId="5" xfId="23" applyNumberFormat="1" applyFont="1" applyBorder="1" applyAlignment="1">
      <alignment horizontal="center" vertical="center" wrapText="1"/>
    </xf>
    <xf numFmtId="3" fontId="25" fillId="0" borderId="0" xfId="23" applyNumberFormat="1" applyFont="1" applyBorder="1" applyAlignment="1">
      <alignment horizontal="center" vertical="center" wrapText="1"/>
    </xf>
    <xf numFmtId="3" fontId="19" fillId="0" borderId="15" xfId="23" applyNumberFormat="1" applyFont="1" applyBorder="1" applyAlignment="1">
      <alignment horizontal="center"/>
    </xf>
    <xf numFmtId="3" fontId="25" fillId="0" borderId="0" xfId="23" applyNumberFormat="1" applyFont="1" applyBorder="1" applyAlignment="1">
      <alignment horizontal="center"/>
    </xf>
    <xf numFmtId="3" fontId="19" fillId="0" borderId="15" xfId="23" applyNumberFormat="1" applyFont="1" applyBorder="1" applyAlignment="1">
      <alignment horizontal="center" vertical="center" wrapText="1"/>
    </xf>
    <xf numFmtId="3" fontId="25" fillId="0" borderId="11" xfId="23" applyNumberFormat="1" applyFont="1" applyBorder="1"/>
    <xf numFmtId="3" fontId="25" fillId="0" borderId="32" xfId="23" applyNumberFormat="1" applyFont="1" applyBorder="1" applyAlignment="1">
      <alignment horizontal="center" vertical="center" wrapText="1"/>
    </xf>
    <xf numFmtId="3" fontId="25" fillId="0" borderId="15" xfId="23" applyNumberFormat="1" applyFont="1" applyBorder="1" applyAlignment="1">
      <alignment horizontal="center"/>
    </xf>
    <xf numFmtId="0" fontId="25" fillId="0" borderId="4" xfId="23" applyFont="1" applyBorder="1"/>
    <xf numFmtId="3" fontId="24" fillId="0" borderId="5" xfId="23" applyNumberFormat="1" applyFont="1" applyBorder="1" applyAlignment="1">
      <alignment horizontal="center" vertical="center" wrapText="1"/>
    </xf>
    <xf numFmtId="3" fontId="24" fillId="0" borderId="32" xfId="23" applyNumberFormat="1" applyFont="1" applyBorder="1" applyAlignment="1">
      <alignment horizontal="center" vertical="center" wrapText="1"/>
    </xf>
    <xf numFmtId="3" fontId="28" fillId="0" borderId="11" xfId="23" applyNumberFormat="1" applyFont="1" applyBorder="1"/>
    <xf numFmtId="0" fontId="28" fillId="0" borderId="4" xfId="23" applyFont="1" applyBorder="1"/>
    <xf numFmtId="3" fontId="19" fillId="0" borderId="5" xfId="23" applyNumberFormat="1" applyFont="1" applyBorder="1" applyAlignment="1">
      <alignment horizontal="center" vertical="center" wrapText="1"/>
    </xf>
    <xf numFmtId="3" fontId="19" fillId="0" borderId="0" xfId="23" applyNumberFormat="1" applyFont="1" applyBorder="1" applyAlignment="1">
      <alignment horizontal="center" vertical="center" wrapText="1"/>
    </xf>
    <xf numFmtId="3" fontId="19" fillId="0" borderId="15" xfId="23" applyNumberFormat="1" applyFont="1" applyBorder="1" applyAlignment="1">
      <alignment horizontal="center" vertical="center"/>
    </xf>
    <xf numFmtId="3" fontId="19" fillId="0" borderId="11" xfId="23" applyNumberFormat="1" applyFont="1" applyBorder="1" applyAlignment="1">
      <alignment horizontal="center" vertical="center" wrapText="1"/>
    </xf>
    <xf numFmtId="3" fontId="19" fillId="0" borderId="32" xfId="23" applyNumberFormat="1" applyFont="1" applyBorder="1" applyAlignment="1">
      <alignment horizontal="center" vertical="center" wrapText="1"/>
    </xf>
    <xf numFmtId="0" fontId="19" fillId="0" borderId="4" xfId="23" applyFont="1" applyBorder="1" applyAlignment="1">
      <alignment horizontal="center" vertical="center" wrapText="1"/>
    </xf>
    <xf numFmtId="3" fontId="19" fillId="0" borderId="15" xfId="9" applyNumberFormat="1" applyFont="1" applyBorder="1" applyAlignment="1">
      <alignment horizontal="center"/>
    </xf>
    <xf numFmtId="0" fontId="3" fillId="0" borderId="0" xfId="24"/>
    <xf numFmtId="0" fontId="18" fillId="0" borderId="0" xfId="23"/>
    <xf numFmtId="0" fontId="13" fillId="0" borderId="4" xfId="23" applyFont="1" applyBorder="1"/>
    <xf numFmtId="3" fontId="25" fillId="0" borderId="5" xfId="23" applyNumberFormat="1" applyFont="1" applyFill="1" applyBorder="1" applyAlignment="1">
      <alignment horizontal="center" vertical="center" wrapText="1"/>
    </xf>
    <xf numFmtId="3" fontId="25" fillId="0" borderId="0" xfId="23" applyNumberFormat="1" applyFont="1" applyFill="1" applyBorder="1" applyAlignment="1">
      <alignment horizontal="center" vertical="center" wrapText="1"/>
    </xf>
    <xf numFmtId="3" fontId="19" fillId="0" borderId="15" xfId="9" applyNumberFormat="1" applyFont="1" applyFill="1" applyBorder="1" applyAlignment="1">
      <alignment horizontal="center"/>
    </xf>
    <xf numFmtId="3" fontId="25" fillId="0" borderId="0" xfId="9" applyNumberFormat="1" applyFont="1" applyFill="1" applyBorder="1" applyAlignment="1">
      <alignment horizontal="center" vertical="center"/>
    </xf>
    <xf numFmtId="3" fontId="25" fillId="0" borderId="32" xfId="23" applyNumberFormat="1" applyFont="1" applyFill="1" applyBorder="1" applyAlignment="1">
      <alignment horizontal="center" vertical="center" wrapText="1"/>
    </xf>
    <xf numFmtId="0" fontId="25" fillId="0" borderId="4" xfId="23" applyFont="1" applyFill="1" applyBorder="1"/>
    <xf numFmtId="0" fontId="25" fillId="0" borderId="0" xfId="23" applyFont="1" applyFill="1"/>
    <xf numFmtId="169" fontId="25" fillId="0" borderId="0" xfId="8" applyNumberFormat="1" applyFont="1" applyFill="1"/>
    <xf numFmtId="0" fontId="3" fillId="0" borderId="0" xfId="25"/>
    <xf numFmtId="0" fontId="13" fillId="0" borderId="4" xfId="23" applyFont="1" applyFill="1" applyBorder="1"/>
    <xf numFmtId="0" fontId="25" fillId="0" borderId="0" xfId="23" applyFont="1" applyAlignment="1">
      <alignment vertical="center" wrapText="1"/>
    </xf>
    <xf numFmtId="3" fontId="19" fillId="0" borderId="67" xfId="23" applyNumberFormat="1" applyFont="1" applyBorder="1" applyAlignment="1">
      <alignment horizontal="center" vertical="center" wrapText="1"/>
    </xf>
    <xf numFmtId="3" fontId="19" fillId="0" borderId="72" xfId="23" applyNumberFormat="1" applyFont="1" applyBorder="1" applyAlignment="1">
      <alignment horizontal="center" vertical="center" wrapText="1"/>
    </xf>
    <xf numFmtId="3" fontId="19" fillId="0" borderId="53" xfId="23" applyNumberFormat="1" applyFont="1" applyBorder="1" applyAlignment="1">
      <alignment horizontal="center" vertical="center" wrapText="1"/>
    </xf>
    <xf numFmtId="3" fontId="19" fillId="0" borderId="37" xfId="23" applyNumberFormat="1" applyFont="1" applyBorder="1" applyAlignment="1">
      <alignment horizontal="center" vertical="center" wrapText="1"/>
    </xf>
    <xf numFmtId="0" fontId="19" fillId="0" borderId="66" xfId="23" applyFont="1" applyBorder="1" applyAlignment="1">
      <alignment horizontal="center" vertical="center"/>
    </xf>
    <xf numFmtId="0" fontId="25" fillId="0" borderId="5" xfId="23" applyFont="1" applyBorder="1" applyAlignment="1">
      <alignment horizontal="center" vertical="center" wrapText="1"/>
    </xf>
    <xf numFmtId="0" fontId="25" fillId="0" borderId="0" xfId="23" applyFont="1" applyBorder="1" applyAlignment="1">
      <alignment horizontal="center" vertical="center" wrapText="1"/>
    </xf>
    <xf numFmtId="0" fontId="25" fillId="0" borderId="32" xfId="23" applyFont="1" applyBorder="1" applyAlignment="1">
      <alignment horizontal="center" vertical="center" wrapText="1"/>
    </xf>
    <xf numFmtId="0" fontId="29" fillId="0" borderId="0" xfId="23" applyFont="1" applyBorder="1" applyAlignment="1">
      <alignment horizontal="center" vertical="center" wrapText="1"/>
    </xf>
    <xf numFmtId="0" fontId="27" fillId="0" borderId="5" xfId="23" applyFont="1" applyBorder="1" applyAlignment="1">
      <alignment horizontal="center"/>
    </xf>
    <xf numFmtId="0" fontId="30" fillId="0" borderId="4" xfId="23" applyFont="1" applyBorder="1" applyAlignment="1">
      <alignment horizontal="center" vertical="center"/>
    </xf>
    <xf numFmtId="166" fontId="25" fillId="0" borderId="0" xfId="9" applyFont="1"/>
    <xf numFmtId="9" fontId="25" fillId="0" borderId="27" xfId="8" applyFont="1" applyBorder="1"/>
    <xf numFmtId="9" fontId="25" fillId="0" borderId="28" xfId="8" applyFont="1" applyBorder="1"/>
    <xf numFmtId="0" fontId="20" fillId="0" borderId="29" xfId="23" applyFont="1" applyBorder="1"/>
    <xf numFmtId="3" fontId="19" fillId="0" borderId="16" xfId="23" applyNumberFormat="1" applyFont="1" applyBorder="1" applyAlignment="1">
      <alignment vertical="center"/>
    </xf>
    <xf numFmtId="3" fontId="19" fillId="0" borderId="4" xfId="23" applyNumberFormat="1" applyFont="1" applyBorder="1" applyAlignment="1">
      <alignment horizontal="center" vertical="center"/>
    </xf>
    <xf numFmtId="3" fontId="19" fillId="0" borderId="48" xfId="23" applyNumberFormat="1" applyFont="1" applyBorder="1" applyAlignment="1">
      <alignment horizontal="center" vertical="center"/>
    </xf>
    <xf numFmtId="0" fontId="27" fillId="0" borderId="0" xfId="23" applyFont="1" applyFill="1" applyAlignment="1">
      <alignment horizontal="center" vertical="center"/>
    </xf>
    <xf numFmtId="0" fontId="19" fillId="0" borderId="16" xfId="23" applyFont="1" applyBorder="1" applyAlignment="1">
      <alignment vertical="center"/>
    </xf>
    <xf numFmtId="0" fontId="42" fillId="4" borderId="74" xfId="23" applyFont="1" applyFill="1" applyBorder="1" applyAlignment="1" applyProtection="1">
      <alignment horizontal="left" vertical="center" wrapText="1"/>
      <protection locked="0"/>
    </xf>
    <xf numFmtId="3" fontId="13" fillId="0" borderId="5" xfId="23" applyNumberFormat="1" applyFont="1" applyBorder="1" applyAlignment="1">
      <alignment horizontal="center" vertical="center" wrapText="1"/>
    </xf>
    <xf numFmtId="3" fontId="19" fillId="0" borderId="76" xfId="9" applyNumberFormat="1" applyFont="1" applyBorder="1" applyAlignment="1">
      <alignment horizontal="center" vertical="center"/>
    </xf>
    <xf numFmtId="3" fontId="25" fillId="0" borderId="0" xfId="23" applyNumberFormat="1" applyFont="1" applyAlignment="1">
      <alignment horizontal="center" vertical="center" wrapText="1"/>
    </xf>
    <xf numFmtId="165" fontId="25" fillId="0" borderId="0" xfId="9" applyNumberFormat="1" applyFont="1"/>
    <xf numFmtId="3" fontId="25" fillId="0" borderId="0" xfId="23" applyNumberFormat="1" applyFont="1"/>
    <xf numFmtId="9" fontId="19" fillId="0" borderId="26" xfId="8" applyFont="1" applyBorder="1" applyAlignment="1">
      <alignment horizontal="center" vertical="center" wrapText="1"/>
    </xf>
    <xf numFmtId="9" fontId="19" fillId="0" borderId="5" xfId="8" applyFont="1" applyBorder="1" applyAlignment="1">
      <alignment horizontal="center" vertical="center"/>
    </xf>
    <xf numFmtId="9" fontId="19" fillId="0" borderId="65" xfId="8" applyFont="1" applyBorder="1" applyAlignment="1">
      <alignment horizontal="center" vertical="center"/>
    </xf>
    <xf numFmtId="9" fontId="19" fillId="0" borderId="35" xfId="8" applyFont="1" applyBorder="1" applyAlignment="1">
      <alignment horizontal="center" vertical="center"/>
    </xf>
    <xf numFmtId="9" fontId="25" fillId="0" borderId="11" xfId="8" applyFont="1" applyBorder="1"/>
    <xf numFmtId="9" fontId="25" fillId="0" borderId="25" xfId="8" applyFont="1" applyBorder="1" applyAlignment="1">
      <alignment horizontal="center"/>
    </xf>
    <xf numFmtId="9" fontId="25" fillId="0" borderId="6" xfId="8" applyFont="1" applyBorder="1" applyAlignment="1">
      <alignment horizontal="center"/>
    </xf>
    <xf numFmtId="9" fontId="28" fillId="0" borderId="11" xfId="8" applyFont="1" applyBorder="1"/>
    <xf numFmtId="9" fontId="19" fillId="0" borderId="25" xfId="8" applyFont="1" applyBorder="1" applyAlignment="1">
      <alignment horizontal="center" vertical="center"/>
    </xf>
    <xf numFmtId="9" fontId="20" fillId="0" borderId="5" xfId="8" applyFont="1" applyBorder="1" applyAlignment="1">
      <alignment horizontal="center"/>
    </xf>
    <xf numFmtId="9" fontId="20" fillId="0" borderId="0" xfId="8" applyFont="1" applyBorder="1" applyAlignment="1">
      <alignment horizontal="center"/>
    </xf>
    <xf numFmtId="9" fontId="20" fillId="0" borderId="25" xfId="8" applyFont="1" applyBorder="1" applyAlignment="1">
      <alignment horizontal="center"/>
    </xf>
    <xf numFmtId="9" fontId="19" fillId="0" borderId="67" xfId="8" applyFont="1" applyBorder="1" applyAlignment="1">
      <alignment horizontal="center" vertical="center" wrapText="1"/>
    </xf>
    <xf numFmtId="9" fontId="19" fillId="0" borderId="72" xfId="8" applyFont="1" applyBorder="1" applyAlignment="1">
      <alignment horizontal="center" vertical="center" wrapText="1"/>
    </xf>
    <xf numFmtId="9" fontId="19" fillId="0" borderId="70" xfId="8" applyFont="1" applyBorder="1" applyAlignment="1">
      <alignment horizontal="center" vertical="center" wrapText="1"/>
    </xf>
    <xf numFmtId="9" fontId="19" fillId="0" borderId="77" xfId="8" applyFont="1" applyBorder="1" applyAlignment="1">
      <alignment horizontal="center" vertical="center" wrapText="1"/>
    </xf>
    <xf numFmtId="0" fontId="25" fillId="0" borderId="0" xfId="23" applyFont="1" applyBorder="1" applyAlignment="1">
      <alignment vertical="center" wrapText="1"/>
    </xf>
    <xf numFmtId="0" fontId="19" fillId="0" borderId="65" xfId="23" applyFont="1" applyBorder="1" applyAlignment="1">
      <alignment horizontal="center" vertical="center" wrapText="1"/>
    </xf>
    <xf numFmtId="0" fontId="19" fillId="0" borderId="6" xfId="23" applyFont="1" applyBorder="1" applyAlignment="1">
      <alignment horizontal="center" vertical="center" wrapText="1"/>
    </xf>
    <xf numFmtId="0" fontId="19" fillId="0" borderId="49" xfId="23" applyFont="1" applyBorder="1" applyAlignment="1">
      <alignment horizontal="center" vertical="center" wrapText="1"/>
    </xf>
    <xf numFmtId="0" fontId="20" fillId="0" borderId="5" xfId="23" applyFont="1" applyBorder="1" applyAlignment="1">
      <alignment horizontal="center" vertical="center" wrapText="1"/>
    </xf>
    <xf numFmtId="0" fontId="20" fillId="0" borderId="72" xfId="23" applyFont="1" applyBorder="1" applyAlignment="1">
      <alignment horizontal="center" vertical="center" wrapText="1"/>
    </xf>
    <xf numFmtId="0" fontId="20" fillId="0" borderId="25" xfId="23" applyFont="1" applyBorder="1" applyAlignment="1">
      <alignment horizontal="center" vertical="center" wrapText="1"/>
    </xf>
    <xf numFmtId="0" fontId="25" fillId="0" borderId="0" xfId="23" applyFont="1" applyBorder="1" applyAlignment="1">
      <alignment horizontal="center" vertical="center"/>
    </xf>
    <xf numFmtId="0" fontId="30" fillId="0" borderId="0" xfId="23" applyFont="1" applyBorder="1" applyAlignment="1">
      <alignment horizontal="center" vertical="center"/>
    </xf>
    <xf numFmtId="0" fontId="30" fillId="0" borderId="5" xfId="23" applyFont="1" applyBorder="1" applyAlignment="1">
      <alignment horizontal="center" vertical="center"/>
    </xf>
    <xf numFmtId="9" fontId="19" fillId="0" borderId="24" xfId="8" applyFont="1" applyBorder="1" applyAlignment="1">
      <alignment horizontal="center" vertical="center" wrapText="1"/>
    </xf>
    <xf numFmtId="9" fontId="19" fillId="0" borderId="23" xfId="8" applyFont="1" applyBorder="1" applyAlignment="1">
      <alignment horizontal="center" vertical="center" wrapText="1"/>
    </xf>
    <xf numFmtId="9" fontId="19" fillId="0" borderId="22" xfId="8" applyFont="1" applyBorder="1" applyAlignment="1">
      <alignment horizontal="center" vertical="center"/>
    </xf>
    <xf numFmtId="3" fontId="19" fillId="0" borderId="22" xfId="23" applyNumberFormat="1" applyFont="1" applyBorder="1" applyAlignment="1">
      <alignment horizontal="center" vertical="center"/>
    </xf>
    <xf numFmtId="0" fontId="19" fillId="0" borderId="22" xfId="23" applyFont="1" applyBorder="1" applyAlignment="1">
      <alignment horizontal="center" vertical="center"/>
    </xf>
    <xf numFmtId="9" fontId="19" fillId="0" borderId="32" xfId="8" applyFont="1" applyBorder="1" applyAlignment="1">
      <alignment horizontal="center" vertical="center"/>
    </xf>
    <xf numFmtId="0" fontId="19" fillId="0" borderId="11" xfId="23" applyFont="1" applyBorder="1" applyAlignment="1">
      <alignment horizontal="center" vertical="center"/>
    </xf>
    <xf numFmtId="9" fontId="19" fillId="0" borderId="40" xfId="8" applyFont="1" applyBorder="1" applyAlignment="1">
      <alignment horizontal="center" vertical="center"/>
    </xf>
    <xf numFmtId="3" fontId="15" fillId="0" borderId="42" xfId="23" applyNumberFormat="1" applyFont="1" applyBorder="1" applyAlignment="1">
      <alignment horizontal="center" vertical="center"/>
    </xf>
    <xf numFmtId="0" fontId="19" fillId="0" borderId="35" xfId="23" applyFont="1" applyBorder="1" applyAlignment="1">
      <alignment horizontal="center" vertical="center"/>
    </xf>
    <xf numFmtId="9" fontId="20" fillId="0" borderId="32" xfId="8" applyFont="1" applyBorder="1" applyAlignment="1">
      <alignment horizontal="center"/>
    </xf>
    <xf numFmtId="9" fontId="20" fillId="0" borderId="0" xfId="8" applyFont="1" applyBorder="1" applyAlignment="1">
      <alignment horizontal="center" vertical="center" wrapText="1"/>
    </xf>
    <xf numFmtId="3" fontId="25" fillId="0" borderId="11" xfId="23" applyNumberFormat="1" applyFont="1" applyBorder="1" applyAlignment="1">
      <alignment horizontal="center"/>
    </xf>
    <xf numFmtId="0" fontId="25" fillId="0" borderId="11" xfId="23" applyFont="1" applyBorder="1"/>
    <xf numFmtId="3" fontId="28" fillId="0" borderId="11" xfId="23" applyNumberFormat="1" applyFont="1" applyBorder="1" applyAlignment="1">
      <alignment horizontal="center"/>
    </xf>
    <xf numFmtId="0" fontId="28" fillId="0" borderId="11" xfId="23" applyFont="1" applyBorder="1"/>
    <xf numFmtId="9" fontId="20" fillId="0" borderId="32" xfId="8" applyFont="1" applyBorder="1" applyAlignment="1">
      <alignment horizontal="center" vertical="center"/>
    </xf>
    <xf numFmtId="9" fontId="20" fillId="0" borderId="25" xfId="8" applyFont="1" applyBorder="1" applyAlignment="1">
      <alignment horizontal="center" vertical="center"/>
    </xf>
    <xf numFmtId="0" fontId="19" fillId="0" borderId="11" xfId="23" applyFont="1" applyBorder="1" applyAlignment="1">
      <alignment horizontal="center" vertical="center" wrapText="1"/>
    </xf>
    <xf numFmtId="3" fontId="13" fillId="0" borderId="11" xfId="23" applyNumberFormat="1" applyFont="1" applyBorder="1" applyAlignment="1">
      <alignment horizontal="center"/>
    </xf>
    <xf numFmtId="0" fontId="13" fillId="0" borderId="11" xfId="23" applyFont="1" applyBorder="1"/>
    <xf numFmtId="3" fontId="19" fillId="0" borderId="15" xfId="8" applyNumberFormat="1" applyFont="1" applyBorder="1" applyAlignment="1">
      <alignment horizontal="center" vertical="center"/>
    </xf>
    <xf numFmtId="0" fontId="25" fillId="0" borderId="11" xfId="23" applyFont="1" applyFill="1" applyBorder="1"/>
    <xf numFmtId="0" fontId="13" fillId="0" borderId="11" xfId="23" applyFont="1" applyFill="1" applyBorder="1"/>
    <xf numFmtId="9" fontId="20" fillId="0" borderId="37" xfId="8" applyFont="1" applyBorder="1" applyAlignment="1">
      <alignment horizontal="center" vertical="center" wrapText="1"/>
    </xf>
    <xf numFmtId="9" fontId="20" fillId="0" borderId="72" xfId="8" applyFont="1" applyBorder="1" applyAlignment="1">
      <alignment horizontal="center" vertical="center" wrapText="1"/>
    </xf>
    <xf numFmtId="9" fontId="20" fillId="0" borderId="77" xfId="8" applyFont="1" applyBorder="1" applyAlignment="1">
      <alignment horizontal="center" vertical="center" wrapText="1"/>
    </xf>
    <xf numFmtId="3" fontId="19" fillId="0" borderId="53" xfId="8" applyNumberFormat="1" applyFont="1" applyBorder="1" applyAlignment="1">
      <alignment horizontal="center" vertical="center" wrapText="1"/>
    </xf>
    <xf numFmtId="0" fontId="19" fillId="0" borderId="70" xfId="23" applyFont="1" applyBorder="1" applyAlignment="1">
      <alignment horizontal="center" vertical="center"/>
    </xf>
    <xf numFmtId="0" fontId="20" fillId="0" borderId="40" xfId="23" applyFont="1" applyBorder="1" applyAlignment="1">
      <alignment horizontal="center" vertical="center" wrapText="1"/>
    </xf>
    <xf numFmtId="0" fontId="20" fillId="0" borderId="6" xfId="23" applyFont="1" applyBorder="1" applyAlignment="1">
      <alignment horizontal="center" vertical="center" wrapText="1"/>
    </xf>
    <xf numFmtId="0" fontId="20" fillId="0" borderId="49" xfId="23" applyFont="1" applyBorder="1" applyAlignment="1">
      <alignment horizontal="center" vertical="center" wrapText="1"/>
    </xf>
    <xf numFmtId="0" fontId="20" fillId="0" borderId="32" xfId="23" applyFont="1" applyBorder="1" applyAlignment="1">
      <alignment horizontal="center" vertical="center" wrapText="1"/>
    </xf>
    <xf numFmtId="0" fontId="30" fillId="0" borderId="11" xfId="23" applyFont="1" applyBorder="1" applyAlignment="1">
      <alignment horizontal="center" vertical="center"/>
    </xf>
    <xf numFmtId="0" fontId="27" fillId="0" borderId="32" xfId="23" applyFont="1" applyBorder="1" applyAlignment="1">
      <alignment horizontal="center"/>
    </xf>
    <xf numFmtId="0" fontId="30" fillId="0" borderId="32" xfId="23" applyFont="1" applyBorder="1" applyAlignment="1">
      <alignment horizontal="center" vertical="center"/>
    </xf>
    <xf numFmtId="9" fontId="25" fillId="0" borderId="26" xfId="8" applyFont="1" applyBorder="1" applyAlignment="1">
      <alignment horizontal="center" vertical="center" wrapText="1"/>
    </xf>
    <xf numFmtId="9" fontId="25" fillId="0" borderId="30" xfId="8" applyFont="1" applyBorder="1" applyAlignment="1">
      <alignment horizontal="center" vertical="center" wrapText="1"/>
    </xf>
    <xf numFmtId="9" fontId="25" fillId="0" borderId="17" xfId="8" applyFont="1" applyBorder="1" applyAlignment="1">
      <alignment horizontal="center" vertical="center"/>
    </xf>
    <xf numFmtId="9" fontId="25" fillId="0" borderId="18" xfId="8" applyFont="1" applyBorder="1" applyAlignment="1">
      <alignment horizontal="center" vertical="center" wrapText="1"/>
    </xf>
    <xf numFmtId="168" fontId="25" fillId="0" borderId="18" xfId="8" applyNumberFormat="1" applyFont="1" applyBorder="1" applyAlignment="1">
      <alignment horizontal="center" vertical="center" wrapText="1"/>
    </xf>
    <xf numFmtId="168" fontId="19" fillId="0" borderId="17" xfId="8" applyNumberFormat="1" applyFont="1" applyBorder="1" applyAlignment="1">
      <alignment horizontal="center" vertical="center"/>
    </xf>
    <xf numFmtId="1" fontId="19" fillId="0" borderId="31" xfId="23" applyNumberFormat="1" applyFont="1" applyBorder="1" applyAlignment="1">
      <alignment horizontal="center" vertical="center"/>
    </xf>
    <xf numFmtId="3" fontId="19" fillId="0" borderId="17" xfId="23" applyNumberFormat="1" applyFont="1" applyBorder="1" applyAlignment="1">
      <alignment horizontal="center" vertical="center"/>
    </xf>
    <xf numFmtId="9" fontId="25" fillId="0" borderId="5" xfId="8" applyFont="1" applyBorder="1" applyAlignment="1">
      <alignment horizontal="center" vertical="center"/>
    </xf>
    <xf numFmtId="9" fontId="25" fillId="0" borderId="25" xfId="8" applyFont="1" applyBorder="1" applyAlignment="1">
      <alignment horizontal="center" vertical="center"/>
    </xf>
    <xf numFmtId="9" fontId="25" fillId="0" borderId="11" xfId="8" applyFont="1" applyBorder="1" applyAlignment="1">
      <alignment horizontal="center" vertical="center"/>
    </xf>
    <xf numFmtId="0" fontId="19" fillId="0" borderId="32" xfId="23" applyFont="1" applyBorder="1" applyAlignment="1">
      <alignment horizontal="center" vertical="center"/>
    </xf>
    <xf numFmtId="9" fontId="25" fillId="0" borderId="25" xfId="8" applyFont="1" applyBorder="1" applyAlignment="1">
      <alignment horizontal="center" vertical="center" wrapText="1"/>
    </xf>
    <xf numFmtId="168" fontId="25" fillId="0" borderId="32" xfId="8" applyNumberFormat="1" applyFont="1" applyBorder="1" applyAlignment="1">
      <alignment horizontal="center"/>
    </xf>
    <xf numFmtId="168" fontId="25" fillId="0" borderId="0" xfId="8" applyNumberFormat="1" applyFont="1" applyBorder="1" applyAlignment="1">
      <alignment horizontal="center"/>
    </xf>
    <xf numFmtId="168" fontId="25" fillId="0" borderId="11" xfId="8" applyNumberFormat="1" applyFont="1" applyBorder="1" applyAlignment="1">
      <alignment horizontal="center"/>
    </xf>
    <xf numFmtId="168" fontId="25" fillId="0" borderId="25" xfId="8" applyNumberFormat="1" applyFont="1" applyBorder="1" applyAlignment="1">
      <alignment horizontal="center"/>
    </xf>
    <xf numFmtId="0" fontId="25" fillId="0" borderId="32" xfId="23" applyFont="1" applyBorder="1" applyAlignment="1">
      <alignment horizontal="center"/>
    </xf>
    <xf numFmtId="9" fontId="13" fillId="0" borderId="32" xfId="8" applyFont="1" applyBorder="1" applyAlignment="1">
      <alignment horizontal="center"/>
    </xf>
    <xf numFmtId="168" fontId="19" fillId="0" borderId="25" xfId="8" applyNumberFormat="1" applyFont="1" applyBorder="1" applyAlignment="1">
      <alignment horizontal="center" vertical="center"/>
    </xf>
    <xf numFmtId="168" fontId="19" fillId="0" borderId="0" xfId="8" applyNumberFormat="1" applyFont="1" applyBorder="1" applyAlignment="1">
      <alignment horizontal="center" vertical="center"/>
    </xf>
    <xf numFmtId="168" fontId="19" fillId="0" borderId="11" xfId="8" applyNumberFormat="1" applyFont="1" applyBorder="1" applyAlignment="1">
      <alignment horizontal="center" vertical="center"/>
    </xf>
    <xf numFmtId="1" fontId="19" fillId="0" borderId="32" xfId="8" applyNumberFormat="1" applyFont="1" applyBorder="1" applyAlignment="1">
      <alignment horizontal="center" vertical="center"/>
    </xf>
    <xf numFmtId="3" fontId="19" fillId="0" borderId="11" xfId="8" applyNumberFormat="1" applyFont="1" applyBorder="1" applyAlignment="1">
      <alignment horizontal="center" vertical="center"/>
    </xf>
    <xf numFmtId="0" fontId="13" fillId="0" borderId="32" xfId="23" applyFont="1" applyBorder="1" applyAlignment="1">
      <alignment horizontal="center"/>
    </xf>
    <xf numFmtId="2" fontId="25" fillId="0" borderId="0" xfId="23" applyNumberFormat="1" applyFont="1"/>
    <xf numFmtId="2" fontId="25" fillId="0" borderId="0" xfId="26" applyNumberFormat="1" applyFont="1"/>
    <xf numFmtId="168" fontId="19" fillId="0" borderId="37" xfId="8" applyNumberFormat="1" applyFont="1" applyBorder="1" applyAlignment="1">
      <alignment horizontal="center" vertical="center" wrapText="1"/>
    </xf>
    <xf numFmtId="168" fontId="19" fillId="0" borderId="72" xfId="8" applyNumberFormat="1" applyFont="1" applyBorder="1" applyAlignment="1">
      <alignment horizontal="center" vertical="center" wrapText="1"/>
    </xf>
    <xf numFmtId="168" fontId="19" fillId="0" borderId="70" xfId="8" applyNumberFormat="1" applyFont="1" applyBorder="1" applyAlignment="1">
      <alignment horizontal="center" vertical="center" wrapText="1"/>
    </xf>
    <xf numFmtId="168" fontId="19" fillId="0" borderId="77" xfId="8" applyNumberFormat="1" applyFont="1" applyBorder="1" applyAlignment="1">
      <alignment horizontal="center" vertical="center" wrapText="1"/>
    </xf>
    <xf numFmtId="1" fontId="19" fillId="0" borderId="37" xfId="8" applyNumberFormat="1" applyFont="1" applyBorder="1" applyAlignment="1">
      <alignment horizontal="center" vertical="center" wrapText="1"/>
    </xf>
    <xf numFmtId="3" fontId="19" fillId="0" borderId="70" xfId="8" applyNumberFormat="1" applyFont="1" applyBorder="1" applyAlignment="1">
      <alignment horizontal="center" vertical="center" wrapText="1"/>
    </xf>
    <xf numFmtId="0" fontId="19" fillId="0" borderId="40" xfId="23" applyFont="1" applyBorder="1" applyAlignment="1">
      <alignment horizontal="center" vertical="center" wrapText="1"/>
    </xf>
    <xf numFmtId="168" fontId="47" fillId="0" borderId="0" xfId="0" applyNumberFormat="1" applyFont="1" applyAlignment="1">
      <alignment vertical="center"/>
    </xf>
    <xf numFmtId="0" fontId="51" fillId="0" borderId="0" xfId="0" applyFont="1"/>
    <xf numFmtId="3" fontId="15" fillId="0" borderId="79" xfId="0" applyNumberFormat="1" applyFont="1" applyFill="1" applyBorder="1" applyAlignment="1">
      <alignment horizontal="center" vertical="center" wrapText="1"/>
    </xf>
    <xf numFmtId="0" fontId="31" fillId="0" borderId="0" xfId="27" applyAlignment="1">
      <alignment wrapText="1"/>
    </xf>
    <xf numFmtId="0" fontId="31" fillId="0" borderId="0" xfId="27" applyAlignment="1">
      <alignment horizontal="center" vertical="center" wrapText="1"/>
    </xf>
    <xf numFmtId="0" fontId="2" fillId="0" borderId="0" xfId="28"/>
    <xf numFmtId="9" fontId="0" fillId="0" borderId="0" xfId="29" applyFont="1"/>
    <xf numFmtId="9" fontId="2" fillId="0" borderId="0" xfId="29" applyFont="1"/>
    <xf numFmtId="0" fontId="2" fillId="0" borderId="0" xfId="28" applyBorder="1"/>
    <xf numFmtId="9" fontId="31" fillId="0" borderId="0" xfId="27" applyNumberFormat="1" applyBorder="1"/>
    <xf numFmtId="9" fontId="0" fillId="0" borderId="0" xfId="29" applyFont="1" applyBorder="1"/>
    <xf numFmtId="0" fontId="31" fillId="0" borderId="0" xfId="27"/>
    <xf numFmtId="0" fontId="31" fillId="0" borderId="0" xfId="27" applyAlignment="1">
      <alignment vertical="center" wrapText="1"/>
    </xf>
    <xf numFmtId="9" fontId="31" fillId="0" borderId="0" xfId="1" applyFont="1" applyAlignment="1">
      <alignment wrapText="1"/>
    </xf>
    <xf numFmtId="9" fontId="31" fillId="0" borderId="0" xfId="27" applyNumberFormat="1" applyAlignment="1">
      <alignment wrapText="1"/>
    </xf>
    <xf numFmtId="9" fontId="2" fillId="0" borderId="0" xfId="29" applyFont="1" applyBorder="1"/>
    <xf numFmtId="0" fontId="0" fillId="5" borderId="78" xfId="0" applyFill="1" applyBorder="1"/>
    <xf numFmtId="0" fontId="0" fillId="5" borderId="0" xfId="0" applyFill="1"/>
    <xf numFmtId="0" fontId="48" fillId="5" borderId="6" xfId="0" applyFont="1" applyFill="1" applyBorder="1" applyAlignment="1">
      <alignment horizontal="center"/>
    </xf>
    <xf numFmtId="0" fontId="48" fillId="5" borderId="6" xfId="0" applyFont="1" applyFill="1" applyBorder="1" applyAlignment="1">
      <alignment horizontal="center" vertical="center"/>
    </xf>
    <xf numFmtId="0" fontId="45" fillId="5" borderId="6" xfId="0" applyFont="1" applyFill="1" applyBorder="1" applyAlignment="1">
      <alignment horizontal="center" vertical="center" wrapText="1"/>
    </xf>
    <xf numFmtId="0" fontId="49" fillId="5" borderId="0" xfId="0" applyFont="1" applyFill="1" applyAlignment="1">
      <alignment horizontal="left" vertical="center"/>
    </xf>
    <xf numFmtId="3" fontId="49" fillId="5" borderId="0" xfId="0" applyNumberFormat="1" applyFont="1" applyFill="1" applyAlignment="1">
      <alignment horizontal="center" vertical="center"/>
    </xf>
    <xf numFmtId="1" fontId="49" fillId="5" borderId="0" xfId="0" applyNumberFormat="1" applyFont="1" applyFill="1" applyAlignment="1">
      <alignment horizontal="center" vertical="center"/>
    </xf>
    <xf numFmtId="1" fontId="50" fillId="5" borderId="0" xfId="0" applyNumberFormat="1" applyFont="1" applyFill="1" applyAlignment="1">
      <alignment horizontal="center" vertical="center"/>
    </xf>
    <xf numFmtId="0" fontId="49" fillId="5" borderId="0" xfId="0" applyFont="1" applyFill="1" applyAlignment="1">
      <alignment horizontal="center" vertical="center"/>
    </xf>
    <xf numFmtId="0" fontId="49" fillId="5" borderId="78" xfId="0" applyFont="1" applyFill="1" applyBorder="1" applyAlignment="1">
      <alignment horizontal="left" vertical="center"/>
    </xf>
    <xf numFmtId="0" fontId="31" fillId="5" borderId="78" xfId="22" applyFont="1" applyFill="1" applyBorder="1"/>
    <xf numFmtId="0" fontId="31" fillId="5" borderId="0" xfId="22" applyFont="1" applyFill="1"/>
    <xf numFmtId="0" fontId="44" fillId="5" borderId="0" xfId="22" applyFont="1" applyFill="1" applyBorder="1" applyAlignment="1">
      <alignment horizontal="center" vertical="center" wrapText="1"/>
    </xf>
    <xf numFmtId="0" fontId="44" fillId="5" borderId="0" xfId="22" applyFont="1" applyFill="1" applyAlignment="1">
      <alignment horizontal="center" vertical="center" wrapText="1"/>
    </xf>
    <xf numFmtId="0" fontId="31" fillId="5" borderId="0" xfId="22" applyFont="1" applyFill="1" applyAlignment="1">
      <alignment horizontal="center" vertical="center" wrapText="1"/>
    </xf>
    <xf numFmtId="0" fontId="44" fillId="5" borderId="0" xfId="22" applyFont="1" applyFill="1" applyBorder="1"/>
    <xf numFmtId="3" fontId="44" fillId="5" borderId="0" xfId="22" applyNumberFormat="1" applyFont="1" applyFill="1" applyBorder="1" applyAlignment="1">
      <alignment horizontal="center"/>
    </xf>
    <xf numFmtId="3" fontId="46" fillId="5" borderId="0" xfId="22" applyNumberFormat="1" applyFont="1" applyFill="1" applyBorder="1" applyAlignment="1">
      <alignment horizontal="center"/>
    </xf>
    <xf numFmtId="9" fontId="44" fillId="5" borderId="0" xfId="0" applyNumberFormat="1" applyFont="1" applyFill="1" applyBorder="1" applyAlignment="1">
      <alignment horizontal="center"/>
    </xf>
    <xf numFmtId="9" fontId="44" fillId="5" borderId="0" xfId="1" applyFont="1" applyFill="1" applyBorder="1" applyAlignment="1">
      <alignment horizontal="center"/>
    </xf>
    <xf numFmtId="9" fontId="46" fillId="5" borderId="0" xfId="22" applyNumberFormat="1" applyFont="1" applyFill="1"/>
    <xf numFmtId="0" fontId="44" fillId="5" borderId="6" xfId="22" applyFont="1" applyFill="1" applyBorder="1"/>
    <xf numFmtId="3" fontId="44" fillId="5" borderId="6" xfId="22" applyNumberFormat="1" applyFont="1" applyFill="1" applyBorder="1" applyAlignment="1">
      <alignment horizontal="center"/>
    </xf>
    <xf numFmtId="0" fontId="44" fillId="5" borderId="78" xfId="22" applyFont="1" applyFill="1" applyBorder="1"/>
    <xf numFmtId="3" fontId="44" fillId="5" borderId="78" xfId="22" applyNumberFormat="1" applyFont="1" applyFill="1" applyBorder="1" applyAlignment="1">
      <alignment horizontal="center"/>
    </xf>
    <xf numFmtId="0" fontId="45" fillId="5" borderId="80" xfId="22" applyFont="1" applyFill="1" applyBorder="1" applyAlignment="1">
      <alignment horizontal="center" vertical="center" wrapText="1"/>
    </xf>
    <xf numFmtId="3" fontId="46" fillId="5" borderId="36" xfId="22" applyNumberFormat="1" applyFont="1" applyFill="1" applyBorder="1" applyAlignment="1">
      <alignment horizontal="center"/>
    </xf>
    <xf numFmtId="0" fontId="45" fillId="5" borderId="0" xfId="22" applyFont="1" applyFill="1" applyBorder="1" applyAlignment="1">
      <alignment vertical="center"/>
    </xf>
    <xf numFmtId="0" fontId="52" fillId="5" borderId="0" xfId="22" applyFont="1" applyFill="1"/>
    <xf numFmtId="0" fontId="53" fillId="0" borderId="0" xfId="22" applyFont="1" applyFill="1"/>
    <xf numFmtId="9" fontId="53" fillId="0" borderId="0" xfId="1" applyFont="1" applyFill="1"/>
    <xf numFmtId="0" fontId="0" fillId="0" borderId="0" xfId="0" applyFill="1"/>
    <xf numFmtId="0" fontId="53" fillId="0" borderId="0" xfId="22" applyFont="1" applyFill="1" applyAlignment="1">
      <alignment horizontal="center" vertical="center" wrapText="1"/>
    </xf>
    <xf numFmtId="9" fontId="53" fillId="0" borderId="0" xfId="22" applyNumberFormat="1" applyFont="1" applyFill="1"/>
    <xf numFmtId="9" fontId="25" fillId="0" borderId="0" xfId="1" applyFont="1"/>
    <xf numFmtId="9" fontId="25" fillId="0" borderId="0" xfId="1" applyFont="1" applyBorder="1"/>
    <xf numFmtId="9" fontId="10" fillId="0" borderId="0" xfId="1" applyFont="1" applyBorder="1" applyAlignment="1">
      <alignment horizontal="center"/>
    </xf>
    <xf numFmtId="9" fontId="15" fillId="0" borderId="32" xfId="1" applyFont="1" applyBorder="1" applyAlignment="1">
      <alignment horizontal="center" vertical="center" wrapText="1"/>
    </xf>
    <xf numFmtId="9" fontId="15" fillId="0" borderId="41" xfId="1" applyFont="1" applyBorder="1" applyAlignment="1">
      <alignment horizontal="center" vertical="center" wrapText="1"/>
    </xf>
    <xf numFmtId="9" fontId="15" fillId="0" borderId="42" xfId="1" applyFont="1" applyBorder="1" applyAlignment="1">
      <alignment horizontal="center" vertical="center" wrapText="1"/>
    </xf>
    <xf numFmtId="9" fontId="15" fillId="0" borderId="38" xfId="1" applyFont="1" applyBorder="1" applyAlignment="1">
      <alignment horizontal="center" vertical="center" wrapText="1"/>
    </xf>
    <xf numFmtId="9" fontId="15" fillId="0" borderId="10" xfId="1" applyFont="1" applyBorder="1" applyAlignment="1">
      <alignment horizontal="center" vertical="center" wrapText="1"/>
    </xf>
    <xf numFmtId="9" fontId="27" fillId="0" borderId="0" xfId="1" applyFont="1" applyBorder="1" applyAlignment="1">
      <alignment horizontal="center"/>
    </xf>
    <xf numFmtId="9" fontId="13" fillId="0" borderId="0" xfId="1" applyNumberFormat="1" applyFont="1" applyBorder="1" applyAlignment="1">
      <alignment horizontal="center" vertical="center"/>
    </xf>
    <xf numFmtId="9" fontId="13" fillId="0" borderId="11" xfId="1" applyNumberFormat="1" applyFont="1" applyBorder="1" applyAlignment="1">
      <alignment horizontal="center" vertical="center"/>
    </xf>
    <xf numFmtId="0" fontId="51" fillId="5" borderId="0" xfId="0" applyFont="1" applyFill="1"/>
    <xf numFmtId="0" fontId="56" fillId="5" borderId="0" xfId="0" applyFont="1" applyFill="1"/>
    <xf numFmtId="0" fontId="57" fillId="5" borderId="0" xfId="30" applyFill="1"/>
    <xf numFmtId="0" fontId="55" fillId="5" borderId="0" xfId="0" applyFont="1" applyFill="1"/>
    <xf numFmtId="9" fontId="25" fillId="0" borderId="0" xfId="8" applyFont="1" applyAlignment="1">
      <alignment horizontal="center" vertical="center" wrapText="1"/>
    </xf>
    <xf numFmtId="0" fontId="25" fillId="0" borderId="0" xfId="23" applyFont="1" applyAlignment="1">
      <alignment horizontal="center"/>
    </xf>
    <xf numFmtId="2" fontId="19" fillId="0" borderId="0" xfId="8" applyNumberFormat="1" applyFont="1" applyBorder="1" applyAlignment="1">
      <alignment horizontal="center"/>
    </xf>
    <xf numFmtId="2" fontId="19" fillId="0" borderId="0" xfId="8" applyNumberFormat="1" applyFont="1" applyBorder="1" applyAlignment="1">
      <alignment horizontal="center" vertical="center"/>
    </xf>
    <xf numFmtId="3" fontId="15" fillId="0" borderId="35" xfId="23" applyNumberFormat="1" applyFont="1" applyBorder="1" applyAlignment="1">
      <alignment horizontal="center" vertical="center"/>
    </xf>
    <xf numFmtId="9" fontId="15" fillId="0" borderId="40" xfId="8" applyFont="1" applyBorder="1" applyAlignment="1">
      <alignment horizontal="center" vertical="center"/>
    </xf>
    <xf numFmtId="2" fontId="19" fillId="0" borderId="35" xfId="8" applyNumberFormat="1" applyFont="1" applyBorder="1" applyAlignment="1">
      <alignment horizontal="center" vertical="center"/>
    </xf>
    <xf numFmtId="2" fontId="19" fillId="0" borderId="6" xfId="8" applyNumberFormat="1" applyFont="1" applyBorder="1" applyAlignment="1">
      <alignment horizontal="center" vertical="center" wrapText="1"/>
    </xf>
    <xf numFmtId="2" fontId="19" fillId="0" borderId="6" xfId="8" applyNumberFormat="1" applyFont="1" applyBorder="1" applyAlignment="1">
      <alignment horizontal="center" vertical="center"/>
    </xf>
    <xf numFmtId="2" fontId="19" fillId="0" borderId="40" xfId="8" applyNumberFormat="1" applyFont="1" applyBorder="1" applyAlignment="1">
      <alignment horizontal="center" vertical="center"/>
    </xf>
    <xf numFmtId="9" fontId="19" fillId="0" borderId="49" xfId="8" applyFont="1" applyBorder="1" applyAlignment="1">
      <alignment horizontal="center" vertical="center" wrapText="1"/>
    </xf>
    <xf numFmtId="9" fontId="25" fillId="0" borderId="17" xfId="8" applyNumberFormat="1" applyFont="1" applyBorder="1" applyAlignment="1">
      <alignment horizontal="center" vertical="center"/>
    </xf>
    <xf numFmtId="9" fontId="19" fillId="0" borderId="0" xfId="1" applyFont="1"/>
    <xf numFmtId="0" fontId="44" fillId="5" borderId="36" xfId="22" applyFont="1" applyFill="1" applyBorder="1"/>
    <xf numFmtId="167" fontId="44" fillId="5" borderId="36" xfId="22" applyNumberFormat="1" applyFont="1" applyFill="1" applyBorder="1" applyAlignment="1">
      <alignment horizontal="center"/>
    </xf>
    <xf numFmtId="9" fontId="44" fillId="5" borderId="36" xfId="1" applyFont="1" applyFill="1" applyBorder="1" applyAlignment="1">
      <alignment horizontal="center"/>
    </xf>
    <xf numFmtId="4" fontId="15" fillId="0" borderId="25" xfId="0" applyNumberFormat="1" applyFont="1" applyBorder="1" applyAlignment="1">
      <alignment horizontal="center" vertical="center"/>
    </xf>
    <xf numFmtId="167" fontId="13" fillId="0" borderId="0" xfId="0" applyNumberFormat="1" applyFont="1" applyBorder="1" applyAlignment="1">
      <alignment horizontal="center" vertical="center" wrapText="1"/>
    </xf>
    <xf numFmtId="4" fontId="15" fillId="0" borderId="0" xfId="8" applyNumberFormat="1" applyFont="1" applyFill="1" applyBorder="1" applyAlignment="1">
      <alignment horizontal="center" vertical="center"/>
    </xf>
    <xf numFmtId="169" fontId="49" fillId="5" borderId="78" xfId="0" applyNumberFormat="1" applyFont="1" applyFill="1" applyBorder="1" applyAlignment="1">
      <alignment horizontal="center" vertical="center"/>
    </xf>
    <xf numFmtId="169" fontId="49" fillId="5" borderId="0" xfId="1" applyNumberFormat="1" applyFont="1" applyFill="1" applyAlignment="1">
      <alignment horizontal="center" vertical="center"/>
    </xf>
    <xf numFmtId="0" fontId="48" fillId="5" borderId="36" xfId="0" applyFont="1" applyFill="1" applyBorder="1" applyAlignment="1">
      <alignment horizontal="center" vertical="center"/>
    </xf>
    <xf numFmtId="3" fontId="44" fillId="5" borderId="36" xfId="22" applyNumberFormat="1" applyFont="1" applyFill="1" applyBorder="1" applyAlignment="1">
      <alignment horizontal="center"/>
    </xf>
    <xf numFmtId="9" fontId="44" fillId="5" borderId="36" xfId="0" applyNumberFormat="1" applyFont="1" applyFill="1" applyBorder="1" applyAlignment="1">
      <alignment horizontal="center"/>
    </xf>
    <xf numFmtId="169" fontId="50" fillId="5" borderId="78" xfId="0" applyNumberFormat="1" applyFont="1" applyFill="1" applyBorder="1" applyAlignment="1">
      <alignment horizontal="center" vertical="center"/>
    </xf>
    <xf numFmtId="169" fontId="50" fillId="5" borderId="0" xfId="1" applyNumberFormat="1" applyFont="1" applyFill="1" applyAlignment="1">
      <alignment horizontal="center" vertical="center"/>
    </xf>
    <xf numFmtId="3" fontId="44" fillId="5" borderId="0" xfId="22" applyNumberFormat="1" applyFont="1" applyFill="1" applyAlignment="1">
      <alignment horizontal="center"/>
    </xf>
    <xf numFmtId="0" fontId="45" fillId="5" borderId="0" xfId="22" applyFont="1" applyFill="1" applyAlignment="1">
      <alignment vertical="center"/>
    </xf>
    <xf numFmtId="9" fontId="44" fillId="5" borderId="0" xfId="0" applyNumberFormat="1" applyFont="1" applyFill="1" applyAlignment="1">
      <alignment horizontal="center"/>
    </xf>
    <xf numFmtId="0" fontId="44" fillId="5" borderId="0" xfId="22" applyFont="1" applyFill="1" applyBorder="1" applyAlignment="1">
      <alignment vertical="center"/>
    </xf>
    <xf numFmtId="167" fontId="44" fillId="5" borderId="0" xfId="22" applyNumberFormat="1" applyFont="1" applyFill="1" applyAlignment="1">
      <alignment horizontal="center"/>
    </xf>
    <xf numFmtId="9" fontId="46" fillId="5" borderId="36" xfId="22" applyNumberFormat="1" applyFont="1" applyFill="1" applyBorder="1"/>
    <xf numFmtId="9" fontId="46" fillId="5" borderId="78" xfId="22" applyNumberFormat="1" applyFont="1" applyFill="1" applyBorder="1"/>
    <xf numFmtId="9" fontId="44" fillId="5" borderId="0" xfId="1" applyNumberFormat="1" applyFont="1" applyFill="1" applyBorder="1" applyAlignment="1">
      <alignment horizontal="center"/>
    </xf>
    <xf numFmtId="0" fontId="58" fillId="0" borderId="0" xfId="0" applyFont="1"/>
    <xf numFmtId="9" fontId="15" fillId="0" borderId="41" xfId="1" applyNumberFormat="1" applyFont="1" applyBorder="1" applyAlignment="1">
      <alignment horizontal="center" vertical="center" wrapText="1"/>
    </xf>
    <xf numFmtId="4" fontId="27" fillId="0" borderId="0" xfId="0" applyNumberFormat="1" applyFont="1" applyAlignment="1">
      <alignment horizontal="center"/>
    </xf>
    <xf numFmtId="167" fontId="13" fillId="0" borderId="11" xfId="23" applyNumberFormat="1" applyFont="1" applyBorder="1" applyAlignment="1">
      <alignment horizontal="center"/>
    </xf>
    <xf numFmtId="0" fontId="45" fillId="5" borderId="80" xfId="22" applyFont="1" applyFill="1" applyBorder="1" applyAlignment="1">
      <alignment horizontal="center" vertical="center" wrapText="1"/>
    </xf>
    <xf numFmtId="3" fontId="45" fillId="5" borderId="0" xfId="22" applyNumberFormat="1" applyFont="1" applyFill="1" applyBorder="1" applyAlignment="1">
      <alignment horizontal="left" vertical="center"/>
    </xf>
    <xf numFmtId="0" fontId="54" fillId="0" borderId="80" xfId="22" applyFont="1" applyFill="1" applyBorder="1" applyAlignment="1">
      <alignment horizontal="center" vertical="center" wrapText="1"/>
    </xf>
    <xf numFmtId="0" fontId="30" fillId="0" borderId="20" xfId="0" applyFont="1" applyBorder="1" applyAlignment="1">
      <alignment horizontal="center" vertical="center"/>
    </xf>
    <xf numFmtId="0" fontId="30" fillId="0" borderId="10" xfId="0" applyFont="1" applyBorder="1" applyAlignment="1">
      <alignment horizontal="center" vertical="center"/>
    </xf>
    <xf numFmtId="0" fontId="30" fillId="0" borderId="21" xfId="0" applyFont="1" applyBorder="1" applyAlignment="1">
      <alignment horizontal="center" vertical="center"/>
    </xf>
    <xf numFmtId="0" fontId="13" fillId="0" borderId="11" xfId="0" applyFont="1" applyBorder="1" applyAlignment="1">
      <alignment horizontal="left" vertical="center" wrapText="1"/>
    </xf>
    <xf numFmtId="0" fontId="38" fillId="0" borderId="0" xfId="0" applyFont="1" applyBorder="1" applyAlignment="1">
      <alignment horizontal="left" vertical="center" wrapText="1"/>
    </xf>
    <xf numFmtId="3" fontId="15" fillId="0" borderId="51" xfId="0" applyNumberFormat="1" applyFont="1" applyBorder="1" applyAlignment="1">
      <alignment horizontal="center" vertical="center" wrapText="1"/>
    </xf>
    <xf numFmtId="3" fontId="15" fillId="0" borderId="58" xfId="0" applyNumberFormat="1" applyFont="1" applyBorder="1" applyAlignment="1">
      <alignment horizontal="center" vertical="center" wrapText="1"/>
    </xf>
    <xf numFmtId="3" fontId="15" fillId="0" borderId="52" xfId="0" applyNumberFormat="1" applyFont="1" applyBorder="1" applyAlignment="1">
      <alignment horizontal="center" vertical="center" wrapText="1"/>
    </xf>
    <xf numFmtId="0" fontId="15" fillId="0" borderId="56"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34"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57"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7" xfId="0" applyFont="1" applyBorder="1" applyAlignment="1">
      <alignment horizontal="center" vertical="center" wrapText="1"/>
    </xf>
    <xf numFmtId="1" fontId="15" fillId="0" borderId="56" xfId="0" applyNumberFormat="1" applyFont="1" applyBorder="1" applyAlignment="1">
      <alignment horizontal="center" vertical="center" wrapText="1"/>
    </xf>
    <xf numFmtId="1" fontId="15" fillId="0" borderId="42" xfId="0" applyNumberFormat="1" applyFont="1" applyBorder="1" applyAlignment="1">
      <alignment horizontal="center" vertical="center" wrapText="1"/>
    </xf>
    <xf numFmtId="0" fontId="16" fillId="0" borderId="56" xfId="0" applyFont="1" applyBorder="1" applyAlignment="1">
      <alignment horizontal="center" vertical="center" wrapText="1"/>
    </xf>
    <xf numFmtId="0" fontId="16" fillId="0" borderId="42"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6"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47" xfId="0" applyFont="1" applyBorder="1" applyAlignment="1">
      <alignment horizontal="center" vertical="center" wrapText="1"/>
    </xf>
    <xf numFmtId="9" fontId="16" fillId="0" borderId="56" xfId="1" applyFont="1" applyBorder="1" applyAlignment="1">
      <alignment horizontal="center" vertical="center" wrapText="1"/>
    </xf>
    <xf numFmtId="9" fontId="16" fillId="0" borderId="42" xfId="1" applyFont="1" applyBorder="1" applyAlignment="1">
      <alignment horizontal="center" vertical="center" wrapText="1"/>
    </xf>
    <xf numFmtId="0" fontId="15" fillId="0" borderId="68" xfId="0" applyFont="1" applyBorder="1" applyAlignment="1">
      <alignment horizontal="center" vertical="center" wrapText="1"/>
    </xf>
    <xf numFmtId="0" fontId="15" fillId="0" borderId="35" xfId="0" applyFont="1" applyBorder="1" applyAlignment="1">
      <alignment horizontal="center" vertical="center" wrapText="1"/>
    </xf>
    <xf numFmtId="0" fontId="13" fillId="0" borderId="50" xfId="2" applyFont="1" applyBorder="1" applyAlignment="1">
      <alignment horizontal="center" vertical="center" wrapText="1"/>
    </xf>
    <xf numFmtId="0" fontId="13" fillId="0" borderId="61" xfId="2" applyFont="1" applyBorder="1" applyAlignment="1">
      <alignment horizontal="center" vertical="center" wrapText="1"/>
    </xf>
    <xf numFmtId="0" fontId="13" fillId="0" borderId="20" xfId="2" applyFont="1" applyBorder="1" applyAlignment="1">
      <alignment horizontal="left" vertical="center"/>
    </xf>
    <xf numFmtId="0" fontId="13" fillId="0" borderId="10" xfId="2" applyFont="1" applyBorder="1" applyAlignment="1">
      <alignment horizontal="left" vertical="center"/>
    </xf>
    <xf numFmtId="0" fontId="13" fillId="0" borderId="21" xfId="2" applyFont="1" applyBorder="1" applyAlignment="1">
      <alignment horizontal="left" vertical="center"/>
    </xf>
    <xf numFmtId="0" fontId="13" fillId="0" borderId="22" xfId="2" applyFont="1" applyBorder="1" applyAlignment="1">
      <alignment horizontal="left" vertical="center"/>
    </xf>
    <xf numFmtId="0" fontId="13" fillId="0" borderId="23" xfId="2" applyFont="1" applyBorder="1" applyAlignment="1">
      <alignment horizontal="left" vertical="center"/>
    </xf>
    <xf numFmtId="0" fontId="13" fillId="0" borderId="24" xfId="2" applyFont="1" applyBorder="1" applyAlignment="1">
      <alignment horizontal="left" vertical="center"/>
    </xf>
    <xf numFmtId="0" fontId="13" fillId="0" borderId="34" xfId="2" applyFont="1" applyBorder="1" applyAlignment="1">
      <alignment horizontal="center" vertical="center" wrapText="1"/>
    </xf>
    <xf numFmtId="0" fontId="13" fillId="0" borderId="0" xfId="2" applyFont="1" applyBorder="1" applyAlignment="1">
      <alignment horizontal="center" vertical="center" wrapText="1"/>
    </xf>
    <xf numFmtId="0" fontId="13" fillId="0" borderId="39"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55" xfId="2" applyFont="1" applyBorder="1" applyAlignment="1">
      <alignment horizontal="center" vertical="center" wrapText="1"/>
    </xf>
    <xf numFmtId="0" fontId="13" fillId="0" borderId="12" xfId="2" applyFont="1" applyBorder="1" applyAlignment="1">
      <alignment horizontal="center" vertical="center" wrapText="1"/>
    </xf>
    <xf numFmtId="0" fontId="11" fillId="0" borderId="20" xfId="2" applyFont="1" applyBorder="1" applyAlignment="1">
      <alignment horizontal="center" vertical="center"/>
    </xf>
    <xf numFmtId="0" fontId="11" fillId="0" borderId="10" xfId="2" applyFont="1" applyBorder="1" applyAlignment="1">
      <alignment horizontal="center" vertical="center"/>
    </xf>
    <xf numFmtId="0" fontId="11" fillId="0" borderId="21" xfId="2" applyFont="1" applyBorder="1" applyAlignment="1">
      <alignment horizontal="center" vertical="center"/>
    </xf>
    <xf numFmtId="0" fontId="13" fillId="0" borderId="46" xfId="3" applyFont="1" applyBorder="1" applyAlignment="1">
      <alignment horizontal="center" vertical="center"/>
    </xf>
    <xf numFmtId="0" fontId="13" fillId="0" borderId="44" xfId="3" applyFont="1" applyBorder="1" applyAlignment="1">
      <alignment horizontal="center" vertical="center"/>
    </xf>
    <xf numFmtId="0" fontId="13" fillId="0" borderId="45" xfId="3" applyFont="1" applyBorder="1" applyAlignment="1">
      <alignment horizontal="center" vertical="center"/>
    </xf>
    <xf numFmtId="0" fontId="15" fillId="0" borderId="7" xfId="2" applyFont="1" applyBorder="1" applyAlignment="1">
      <alignment horizontal="center" vertical="center" wrapText="1"/>
    </xf>
    <xf numFmtId="0" fontId="15" fillId="0" borderId="8" xfId="2" applyFont="1" applyBorder="1" applyAlignment="1">
      <alignment horizontal="center" vertical="center" wrapText="1"/>
    </xf>
    <xf numFmtId="0" fontId="15" fillId="0" borderId="9" xfId="2" applyFont="1" applyBorder="1" applyAlignment="1">
      <alignment horizontal="center" vertical="center" wrapText="1"/>
    </xf>
    <xf numFmtId="0" fontId="15" fillId="0" borderId="10"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21" xfId="2" applyFont="1" applyBorder="1" applyAlignment="1">
      <alignment horizontal="center" vertical="center" wrapText="1"/>
    </xf>
    <xf numFmtId="0" fontId="13" fillId="0" borderId="20" xfId="2" applyFont="1" applyBorder="1" applyAlignment="1">
      <alignment horizontal="left" vertical="top" wrapText="1"/>
    </xf>
    <xf numFmtId="0" fontId="13" fillId="0" borderId="10" xfId="2" applyFont="1" applyBorder="1" applyAlignment="1">
      <alignment horizontal="left" vertical="top" wrapText="1"/>
    </xf>
    <xf numFmtId="0" fontId="13" fillId="0" borderId="21" xfId="2" applyFont="1" applyBorder="1" applyAlignment="1">
      <alignment horizontal="left" vertical="top" wrapText="1"/>
    </xf>
    <xf numFmtId="0" fontId="13" fillId="0" borderId="22" xfId="2" applyFont="1" applyBorder="1" applyAlignment="1">
      <alignment horizontal="left" vertical="top" wrapText="1"/>
    </xf>
    <xf numFmtId="0" fontId="13" fillId="0" borderId="23" xfId="2" applyFont="1" applyBorder="1" applyAlignment="1">
      <alignment horizontal="left" vertical="top" wrapText="1"/>
    </xf>
    <xf numFmtId="0" fontId="13" fillId="0" borderId="24" xfId="2" applyFont="1" applyBorder="1" applyAlignment="1">
      <alignment horizontal="left" vertical="top" wrapText="1"/>
    </xf>
    <xf numFmtId="0" fontId="13" fillId="0" borderId="55" xfId="2" applyFont="1" applyBorder="1" applyAlignment="1">
      <alignment horizontal="center" vertical="center"/>
    </xf>
    <xf numFmtId="0" fontId="13" fillId="0" borderId="34" xfId="2" applyFont="1" applyBorder="1" applyAlignment="1">
      <alignment horizontal="center" vertical="center"/>
    </xf>
    <xf numFmtId="0" fontId="13" fillId="0" borderId="37" xfId="2" applyFont="1" applyBorder="1" applyAlignment="1">
      <alignment horizontal="center" vertical="center"/>
    </xf>
    <xf numFmtId="0" fontId="15" fillId="0" borderId="20" xfId="2" applyFont="1" applyBorder="1" applyAlignment="1">
      <alignment horizontal="center" vertical="center"/>
    </xf>
    <xf numFmtId="0" fontId="15" fillId="0" borderId="10" xfId="2" applyFont="1" applyBorder="1" applyAlignment="1">
      <alignment horizontal="center" vertical="center"/>
    </xf>
    <xf numFmtId="0" fontId="15" fillId="0" borderId="21" xfId="2" applyFont="1" applyBorder="1" applyAlignment="1">
      <alignment horizontal="center" vertical="center"/>
    </xf>
    <xf numFmtId="0" fontId="30" fillId="0" borderId="1" xfId="23" applyFont="1" applyBorder="1" applyAlignment="1">
      <alignment horizontal="center" vertical="center"/>
    </xf>
    <xf numFmtId="0" fontId="30" fillId="0" borderId="2" xfId="23" applyFont="1" applyBorder="1" applyAlignment="1">
      <alignment horizontal="center" vertical="center"/>
    </xf>
    <xf numFmtId="0" fontId="30" fillId="0" borderId="3" xfId="23" applyFont="1" applyBorder="1" applyAlignment="1">
      <alignment horizontal="center" vertical="center"/>
    </xf>
    <xf numFmtId="0" fontId="19" fillId="0" borderId="15" xfId="23" applyFont="1" applyBorder="1" applyAlignment="1">
      <alignment horizontal="center" vertical="center" wrapText="1"/>
    </xf>
    <xf numFmtId="0" fontId="19" fillId="0" borderId="47" xfId="23" applyFont="1" applyBorder="1" applyAlignment="1">
      <alignment horizontal="center" vertical="center" wrapText="1"/>
    </xf>
    <xf numFmtId="0" fontId="19" fillId="0" borderId="51" xfId="23" applyFont="1" applyBorder="1" applyAlignment="1">
      <alignment horizontal="center" vertical="center"/>
    </xf>
    <xf numFmtId="0" fontId="19" fillId="0" borderId="71" xfId="23" applyFont="1" applyBorder="1" applyAlignment="1">
      <alignment horizontal="center" vertical="center"/>
    </xf>
    <xf numFmtId="0" fontId="19" fillId="0" borderId="52" xfId="23" applyFont="1" applyBorder="1" applyAlignment="1">
      <alignment horizontal="center" vertical="center"/>
    </xf>
    <xf numFmtId="0" fontId="19" fillId="0" borderId="73" xfId="23" applyFont="1" applyBorder="1" applyAlignment="1">
      <alignment horizontal="center" vertical="center"/>
    </xf>
    <xf numFmtId="9" fontId="25" fillId="0" borderId="0" xfId="8" applyFont="1" applyAlignment="1">
      <alignment horizontal="center" vertical="center" wrapText="1"/>
    </xf>
    <xf numFmtId="0" fontId="19" fillId="0" borderId="53" xfId="23" applyFont="1" applyBorder="1" applyAlignment="1">
      <alignment horizontal="center" vertical="center" wrapText="1"/>
    </xf>
    <xf numFmtId="0" fontId="20" fillId="0" borderId="0" xfId="23" applyFont="1" applyAlignment="1">
      <alignment horizontal="center" vertical="center"/>
    </xf>
    <xf numFmtId="0" fontId="25" fillId="0" borderId="0" xfId="23" applyFont="1" applyAlignment="1">
      <alignment horizontal="center"/>
    </xf>
    <xf numFmtId="9" fontId="25" fillId="0" borderId="0" xfId="8" applyFont="1" applyAlignment="1">
      <alignment horizontal="center"/>
    </xf>
    <xf numFmtId="0" fontId="25" fillId="0" borderId="75" xfId="23" applyFont="1" applyBorder="1" applyAlignment="1">
      <alignment horizontal="center" vertical="center"/>
    </xf>
    <xf numFmtId="0" fontId="25" fillId="0" borderId="71" xfId="23" applyFont="1" applyBorder="1" applyAlignment="1">
      <alignment horizontal="center" vertical="center"/>
    </xf>
    <xf numFmtId="0" fontId="25" fillId="0" borderId="73" xfId="23" applyFont="1" applyBorder="1" applyAlignment="1">
      <alignment horizontal="center" vertical="center"/>
    </xf>
    <xf numFmtId="0" fontId="25" fillId="0" borderId="53" xfId="23" applyFont="1" applyBorder="1" applyAlignment="1">
      <alignment horizontal="center" vertical="center" wrapText="1"/>
    </xf>
    <xf numFmtId="0" fontId="25" fillId="0" borderId="47" xfId="23" applyFont="1" applyBorder="1" applyAlignment="1">
      <alignment horizontal="center" vertical="center" wrapText="1"/>
    </xf>
    <xf numFmtId="0" fontId="19" fillId="0" borderId="75" xfId="23" applyFont="1" applyBorder="1" applyAlignment="1">
      <alignment horizontal="center" vertical="center"/>
    </xf>
    <xf numFmtId="0" fontId="19" fillId="0" borderId="70" xfId="23" applyFont="1" applyBorder="1" applyAlignment="1">
      <alignment horizontal="center" vertical="center" wrapText="1"/>
    </xf>
    <xf numFmtId="0" fontId="19" fillId="0" borderId="35" xfId="23" applyFont="1" applyBorder="1" applyAlignment="1">
      <alignment horizontal="center" vertical="center" wrapText="1"/>
    </xf>
    <xf numFmtId="0" fontId="43" fillId="0" borderId="51" xfId="23" applyFont="1" applyBorder="1" applyAlignment="1">
      <alignment horizontal="center" vertical="center"/>
    </xf>
    <xf numFmtId="0" fontId="30" fillId="0" borderId="71" xfId="23" applyFont="1" applyBorder="1" applyAlignment="1">
      <alignment horizontal="center" vertical="center"/>
    </xf>
    <xf numFmtId="0" fontId="30" fillId="0" borderId="73" xfId="23" applyFont="1" applyBorder="1" applyAlignment="1">
      <alignment horizontal="center" vertical="center"/>
    </xf>
    <xf numFmtId="0" fontId="30" fillId="0" borderId="20" xfId="23" applyFont="1" applyBorder="1" applyAlignment="1">
      <alignment horizontal="center" vertical="center"/>
    </xf>
    <xf numFmtId="0" fontId="30" fillId="0" borderId="10" xfId="23" applyFont="1" applyBorder="1" applyAlignment="1">
      <alignment horizontal="center" vertical="center"/>
    </xf>
    <xf numFmtId="0" fontId="30" fillId="0" borderId="21" xfId="23" applyFont="1" applyBorder="1" applyAlignment="1">
      <alignment horizontal="center" vertical="center"/>
    </xf>
    <xf numFmtId="0" fontId="43" fillId="0" borderId="71" xfId="23" applyFont="1" applyBorder="1" applyAlignment="1">
      <alignment horizontal="center" vertical="center"/>
    </xf>
    <xf numFmtId="0" fontId="30" fillId="0" borderId="52" xfId="23" applyFont="1" applyBorder="1" applyAlignment="1">
      <alignment horizontal="center" vertical="center"/>
    </xf>
    <xf numFmtId="0" fontId="19" fillId="0" borderId="72" xfId="23" applyFont="1" applyBorder="1" applyAlignment="1">
      <alignment horizontal="center" vertical="center" wrapText="1"/>
    </xf>
    <xf numFmtId="0" fontId="19" fillId="0" borderId="6" xfId="23" applyFont="1" applyBorder="1" applyAlignment="1">
      <alignment horizontal="center" vertical="center" wrapText="1"/>
    </xf>
    <xf numFmtId="0" fontId="20" fillId="0" borderId="56" xfId="23" applyFont="1" applyBorder="1" applyAlignment="1">
      <alignment horizontal="center" vertical="center" wrapText="1"/>
    </xf>
    <xf numFmtId="0" fontId="20" fillId="0" borderId="41" xfId="23" applyFont="1" applyBorder="1" applyAlignment="1">
      <alignment horizontal="center" vertical="center" wrapText="1"/>
    </xf>
    <xf numFmtId="0" fontId="20" fillId="0" borderId="42" xfId="23" applyFont="1" applyBorder="1" applyAlignment="1">
      <alignment horizontal="center" vertical="center" wrapText="1"/>
    </xf>
    <xf numFmtId="0" fontId="20" fillId="0" borderId="51" xfId="23" applyFont="1" applyBorder="1" applyAlignment="1">
      <alignment horizontal="center" vertical="center"/>
    </xf>
    <xf numFmtId="0" fontId="20" fillId="0" borderId="75" xfId="23" applyFont="1" applyBorder="1" applyAlignment="1">
      <alignment horizontal="center" vertical="center"/>
    </xf>
    <xf numFmtId="0" fontId="25" fillId="0" borderId="52" xfId="23" applyFont="1" applyBorder="1" applyAlignment="1">
      <alignment horizontal="center" vertical="center"/>
    </xf>
    <xf numFmtId="0" fontId="20" fillId="0" borderId="70" xfId="23" applyFont="1" applyBorder="1" applyAlignment="1">
      <alignment horizontal="center" vertical="center" wrapText="1"/>
    </xf>
    <xf numFmtId="0" fontId="20" fillId="0" borderId="11" xfId="23" applyFont="1" applyBorder="1" applyAlignment="1">
      <alignment horizontal="center" vertical="center" wrapText="1"/>
    </xf>
    <xf numFmtId="0" fontId="20" fillId="0" borderId="35" xfId="23" applyFont="1" applyBorder="1" applyAlignment="1">
      <alignment horizontal="center" vertical="center" wrapText="1"/>
    </xf>
    <xf numFmtId="0" fontId="20" fillId="0" borderId="37" xfId="23" applyFont="1" applyBorder="1" applyAlignment="1">
      <alignment horizontal="center" vertical="center" wrapText="1"/>
    </xf>
    <xf numFmtId="0" fontId="20" fillId="0" borderId="32" xfId="23" applyFont="1" applyBorder="1" applyAlignment="1">
      <alignment horizontal="center" vertical="center" wrapText="1"/>
    </xf>
    <xf numFmtId="0" fontId="20" fillId="0" borderId="40" xfId="23" applyFont="1" applyBorder="1" applyAlignment="1">
      <alignment horizontal="center" vertical="center" wrapText="1"/>
    </xf>
    <xf numFmtId="167" fontId="44" fillId="5" borderId="0" xfId="22" applyNumberFormat="1" applyFont="1" applyFill="1" applyBorder="1" applyAlignment="1">
      <alignment horizontal="center"/>
    </xf>
    <xf numFmtId="0" fontId="1" fillId="0" borderId="0" xfId="31"/>
    <xf numFmtId="49" fontId="1" fillId="0" borderId="0" xfId="31" applyNumberFormat="1"/>
    <xf numFmtId="167" fontId="46" fillId="5" borderId="0" xfId="22" applyNumberFormat="1" applyFont="1" applyFill="1" applyBorder="1" applyAlignment="1">
      <alignment horizontal="center"/>
    </xf>
    <xf numFmtId="167" fontId="44" fillId="5" borderId="6" xfId="22" applyNumberFormat="1" applyFont="1" applyFill="1" applyBorder="1" applyAlignment="1">
      <alignment horizontal="center"/>
    </xf>
    <xf numFmtId="167" fontId="46" fillId="5" borderId="36" xfId="22" applyNumberFormat="1" applyFont="1" applyFill="1" applyBorder="1" applyAlignment="1">
      <alignment horizontal="center"/>
    </xf>
    <xf numFmtId="167" fontId="31" fillId="5" borderId="0" xfId="22" applyNumberFormat="1" applyFont="1" applyFill="1"/>
    <xf numFmtId="167" fontId="45" fillId="5" borderId="0" xfId="22" applyNumberFormat="1" applyFont="1" applyFill="1" applyBorder="1" applyAlignment="1">
      <alignment vertical="center"/>
    </xf>
    <xf numFmtId="167" fontId="44" fillId="5" borderId="78" xfId="22" applyNumberFormat="1" applyFont="1" applyFill="1" applyBorder="1" applyAlignment="1">
      <alignment horizontal="center"/>
    </xf>
    <xf numFmtId="0" fontId="1" fillId="5" borderId="78" xfId="31" applyFill="1" applyBorder="1"/>
    <xf numFmtId="0" fontId="1" fillId="5" borderId="0" xfId="31" applyFill="1"/>
    <xf numFmtId="0" fontId="59" fillId="5" borderId="36" xfId="31" applyFont="1" applyFill="1" applyBorder="1" applyAlignment="1">
      <alignment horizontal="left" vertical="center"/>
    </xf>
    <xf numFmtId="0" fontId="59" fillId="5" borderId="36" xfId="31" applyFont="1" applyFill="1" applyBorder="1" applyAlignment="1">
      <alignment horizontal="center" vertical="center"/>
    </xf>
    <xf numFmtId="0" fontId="59" fillId="5" borderId="49" xfId="31" applyFont="1" applyFill="1" applyBorder="1" applyAlignment="1">
      <alignment horizontal="center" vertical="center"/>
    </xf>
    <xf numFmtId="0" fontId="60" fillId="5" borderId="36" xfId="31" applyFont="1" applyFill="1" applyBorder="1" applyAlignment="1">
      <alignment horizontal="center" vertical="center" wrapText="1"/>
    </xf>
    <xf numFmtId="0" fontId="49" fillId="5" borderId="0" xfId="31" applyFont="1" applyFill="1" applyAlignment="1">
      <alignment horizontal="left" vertical="center"/>
    </xf>
    <xf numFmtId="3" fontId="49" fillId="5" borderId="0" xfId="31" applyNumberFormat="1" applyFont="1" applyFill="1" applyAlignment="1">
      <alignment horizontal="center" vertical="center"/>
    </xf>
    <xf numFmtId="3" fontId="49" fillId="5" borderId="25" xfId="31" applyNumberFormat="1" applyFont="1" applyFill="1" applyBorder="1" applyAlignment="1">
      <alignment horizontal="center" vertical="center"/>
    </xf>
    <xf numFmtId="9" fontId="50" fillId="5" borderId="55" xfId="32" applyFont="1" applyFill="1" applyBorder="1" applyAlignment="1">
      <alignment horizontal="center" vertical="center" wrapText="1"/>
    </xf>
    <xf numFmtId="9" fontId="50" fillId="5" borderId="0" xfId="32" applyFont="1" applyFill="1" applyBorder="1" applyAlignment="1">
      <alignment horizontal="center" vertical="center" wrapText="1"/>
    </xf>
    <xf numFmtId="0" fontId="61" fillId="5" borderId="0" xfId="31" quotePrefix="1" applyFont="1" applyFill="1" applyAlignment="1">
      <alignment horizontal="left" vertical="center"/>
    </xf>
    <xf numFmtId="3" fontId="61" fillId="5" borderId="0" xfId="31" applyNumberFormat="1" applyFont="1" applyFill="1" applyAlignment="1">
      <alignment horizontal="center" vertical="center"/>
    </xf>
    <xf numFmtId="3" fontId="61" fillId="5" borderId="25" xfId="31" applyNumberFormat="1" applyFont="1" applyFill="1" applyBorder="1" applyAlignment="1">
      <alignment horizontal="center" vertical="center"/>
    </xf>
    <xf numFmtId="1" fontId="49" fillId="5" borderId="25" xfId="31" applyNumberFormat="1" applyFont="1" applyFill="1" applyBorder="1" applyAlignment="1">
      <alignment horizontal="center" vertical="center"/>
    </xf>
    <xf numFmtId="169" fontId="49" fillId="5" borderId="0" xfId="32" applyNumberFormat="1" applyFont="1" applyFill="1" applyAlignment="1">
      <alignment horizontal="center" vertical="center"/>
    </xf>
    <xf numFmtId="169" fontId="49" fillId="5" borderId="25" xfId="32" applyNumberFormat="1" applyFont="1" applyFill="1" applyBorder="1" applyAlignment="1">
      <alignment horizontal="center" vertical="center"/>
    </xf>
    <xf numFmtId="9" fontId="50" fillId="5" borderId="0" xfId="32" quotePrefix="1" applyFont="1" applyFill="1" applyBorder="1" applyAlignment="1">
      <alignment horizontal="center" vertical="center" wrapText="1"/>
    </xf>
    <xf numFmtId="0" fontId="49" fillId="5" borderId="0" xfId="31" applyFont="1" applyFill="1" applyAlignment="1">
      <alignment horizontal="center" vertical="center"/>
    </xf>
    <xf numFmtId="1" fontId="49" fillId="5" borderId="0" xfId="31" applyNumberFormat="1" applyFont="1" applyFill="1" applyAlignment="1">
      <alignment horizontal="center" vertical="center"/>
    </xf>
    <xf numFmtId="9" fontId="50" fillId="5" borderId="12" xfId="32" applyFont="1" applyFill="1" applyBorder="1" applyAlignment="1">
      <alignment horizontal="center" vertical="center" wrapText="1"/>
    </xf>
    <xf numFmtId="0" fontId="49" fillId="5" borderId="78" xfId="31" applyFont="1" applyFill="1" applyBorder="1" applyAlignment="1">
      <alignment horizontal="left" vertical="center"/>
    </xf>
    <xf numFmtId="169" fontId="49" fillId="5" borderId="78" xfId="31" applyNumberFormat="1" applyFont="1" applyFill="1" applyBorder="1" applyAlignment="1">
      <alignment horizontal="center" vertical="center"/>
    </xf>
    <xf numFmtId="169" fontId="49" fillId="5" borderId="81" xfId="31" applyNumberFormat="1" applyFont="1" applyFill="1" applyBorder="1" applyAlignment="1">
      <alignment horizontal="center" vertical="center"/>
    </xf>
    <xf numFmtId="9" fontId="50" fillId="5" borderId="82" xfId="32" quotePrefix="1" applyFont="1" applyFill="1" applyBorder="1" applyAlignment="1">
      <alignment horizontal="center" vertical="center" wrapText="1"/>
    </xf>
    <xf numFmtId="0" fontId="25" fillId="0" borderId="0" xfId="33" applyFont="1"/>
    <xf numFmtId="0" fontId="30" fillId="0" borderId="1" xfId="33" applyFont="1" applyBorder="1" applyAlignment="1">
      <alignment horizontal="center" vertical="center" wrapText="1"/>
    </xf>
    <xf numFmtId="0" fontId="30" fillId="0" borderId="2" xfId="33" applyFont="1" applyBorder="1" applyAlignment="1">
      <alignment horizontal="center" vertical="center" wrapText="1"/>
    </xf>
    <xf numFmtId="0" fontId="30" fillId="0" borderId="3" xfId="33" applyFont="1" applyBorder="1" applyAlignment="1">
      <alignment horizontal="center" vertical="center" wrapText="1"/>
    </xf>
    <xf numFmtId="0" fontId="30" fillId="0" borderId="4" xfId="33" applyFont="1" applyBorder="1" applyAlignment="1">
      <alignment horizontal="center" vertical="center"/>
    </xf>
    <xf numFmtId="0" fontId="30" fillId="0" borderId="0" xfId="33" applyFont="1" applyAlignment="1">
      <alignment horizontal="center" vertical="center"/>
    </xf>
    <xf numFmtId="0" fontId="25" fillId="0" borderId="5" xfId="33" applyFont="1" applyBorder="1"/>
    <xf numFmtId="0" fontId="25" fillId="0" borderId="4" xfId="33" applyFont="1" applyBorder="1"/>
    <xf numFmtId="0" fontId="27" fillId="0" borderId="0" xfId="34" applyFont="1" applyAlignment="1">
      <alignment horizontal="center"/>
    </xf>
    <xf numFmtId="0" fontId="27" fillId="0" borderId="0" xfId="33" applyFont="1" applyAlignment="1">
      <alignment horizontal="center"/>
    </xf>
    <xf numFmtId="0" fontId="27" fillId="0" borderId="5" xfId="33" applyFont="1" applyBorder="1" applyAlignment="1">
      <alignment horizontal="center"/>
    </xf>
    <xf numFmtId="0" fontId="19" fillId="0" borderId="70" xfId="33" applyFont="1" applyBorder="1" applyAlignment="1">
      <alignment horizontal="center" vertical="center"/>
    </xf>
    <xf numFmtId="0" fontId="19" fillId="0" borderId="72" xfId="33" applyFont="1" applyBorder="1" applyAlignment="1">
      <alignment horizontal="center" vertical="center"/>
    </xf>
    <xf numFmtId="0" fontId="0" fillId="0" borderId="70" xfId="33" applyFont="1" applyBorder="1" applyAlignment="1">
      <alignment horizontal="center" vertical="center" wrapText="1"/>
    </xf>
    <xf numFmtId="0" fontId="0" fillId="0" borderId="67" xfId="33" applyFont="1" applyBorder="1" applyAlignment="1">
      <alignment horizontal="center" vertical="center" wrapText="1"/>
    </xf>
    <xf numFmtId="0" fontId="0" fillId="0" borderId="7" xfId="33" applyFont="1" applyBorder="1" applyAlignment="1">
      <alignment horizontal="center" vertical="center"/>
    </xf>
    <xf numFmtId="0" fontId="0" fillId="0" borderId="8" xfId="33" applyFont="1" applyBorder="1" applyAlignment="1">
      <alignment horizontal="center" vertical="center"/>
    </xf>
    <xf numFmtId="0" fontId="25" fillId="0" borderId="11" xfId="33" applyFont="1" applyBorder="1" applyAlignment="1">
      <alignment horizontal="center" vertical="center" wrapText="1"/>
    </xf>
    <xf numFmtId="0" fontId="25" fillId="0" borderId="5" xfId="33" applyFont="1" applyBorder="1" applyAlignment="1">
      <alignment horizontal="center" vertical="center" wrapText="1"/>
    </xf>
    <xf numFmtId="0" fontId="19" fillId="0" borderId="70" xfId="33" applyFont="1" applyBorder="1" applyAlignment="1">
      <alignment horizontal="center" vertical="center" wrapText="1"/>
    </xf>
    <xf numFmtId="0" fontId="25" fillId="0" borderId="0" xfId="34" applyAlignment="1">
      <alignment horizontal="center" vertical="center" wrapText="1"/>
    </xf>
    <xf numFmtId="0" fontId="29" fillId="0" borderId="0" xfId="34" applyFont="1" applyAlignment="1">
      <alignment horizontal="center" vertical="center" wrapText="1"/>
    </xf>
    <xf numFmtId="0" fontId="19" fillId="0" borderId="0" xfId="33" applyFont="1" applyAlignment="1">
      <alignment horizontal="center" vertical="center" wrapText="1"/>
    </xf>
    <xf numFmtId="0" fontId="0" fillId="0" borderId="72" xfId="33" applyFont="1" applyBorder="1" applyAlignment="1">
      <alignment horizontal="center" vertical="center" wrapText="1"/>
    </xf>
    <xf numFmtId="0" fontId="19" fillId="0" borderId="35" xfId="33" applyFont="1" applyBorder="1" applyAlignment="1">
      <alignment horizontal="center" vertical="center" wrapText="1"/>
    </xf>
    <xf numFmtId="0" fontId="19" fillId="0" borderId="36" xfId="33" applyFont="1" applyBorder="1" applyAlignment="1">
      <alignment horizontal="center" vertical="center" wrapText="1"/>
    </xf>
    <xf numFmtId="0" fontId="25" fillId="0" borderId="36" xfId="33" applyFont="1" applyBorder="1" applyAlignment="1">
      <alignment vertical="center" wrapText="1"/>
    </xf>
    <xf numFmtId="0" fontId="25" fillId="0" borderId="36" xfId="33" applyFont="1" applyBorder="1" applyAlignment="1">
      <alignment horizontal="center" vertical="center" wrapText="1"/>
    </xf>
    <xf numFmtId="0" fontId="25" fillId="0" borderId="35" xfId="33" applyFont="1" applyBorder="1" applyAlignment="1">
      <alignment horizontal="center" vertical="center" wrapText="1"/>
    </xf>
    <xf numFmtId="0" fontId="25" fillId="0" borderId="65" xfId="33" applyFont="1" applyBorder="1" applyAlignment="1">
      <alignment horizontal="center" vertical="center" wrapText="1"/>
    </xf>
    <xf numFmtId="0" fontId="25" fillId="0" borderId="66" xfId="33" applyFont="1" applyBorder="1" applyAlignment="1">
      <alignment horizontal="center"/>
    </xf>
    <xf numFmtId="9" fontId="15" fillId="0" borderId="70" xfId="35" applyFont="1" applyBorder="1" applyAlignment="1">
      <alignment horizontal="center" vertical="center" wrapText="1"/>
    </xf>
    <xf numFmtId="9" fontId="13" fillId="0" borderId="72" xfId="35" applyFont="1" applyBorder="1" applyAlignment="1">
      <alignment horizontal="center" vertical="center" wrapText="1"/>
    </xf>
    <xf numFmtId="9" fontId="15" fillId="0" borderId="72" xfId="35" applyFont="1" applyBorder="1" applyAlignment="1">
      <alignment horizontal="center" vertical="center" wrapText="1"/>
    </xf>
    <xf numFmtId="9" fontId="25" fillId="0" borderId="72" xfId="35" applyFont="1" applyBorder="1" applyAlignment="1">
      <alignment horizontal="center" vertical="center"/>
    </xf>
    <xf numFmtId="3" fontId="25" fillId="0" borderId="70" xfId="35" applyNumberFormat="1" applyFont="1" applyBorder="1" applyAlignment="1">
      <alignment horizontal="center" vertical="center"/>
    </xf>
    <xf numFmtId="3" fontId="25" fillId="0" borderId="67" xfId="35" applyNumberFormat="1" applyFont="1" applyBorder="1" applyAlignment="1">
      <alignment horizontal="center" vertical="center"/>
    </xf>
    <xf numFmtId="169" fontId="27" fillId="0" borderId="0" xfId="33" applyNumberFormat="1" applyFont="1"/>
    <xf numFmtId="9" fontId="25" fillId="0" borderId="0" xfId="33" applyNumberFormat="1" applyFont="1" applyAlignment="1">
      <alignment horizontal="center" vertical="center" wrapText="1"/>
    </xf>
    <xf numFmtId="0" fontId="25" fillId="0" borderId="4" xfId="33" applyFont="1" applyBorder="1" applyAlignment="1">
      <alignment horizontal="center"/>
    </xf>
    <xf numFmtId="9" fontId="15" fillId="0" borderId="11" xfId="35" applyFont="1" applyBorder="1" applyAlignment="1">
      <alignment horizontal="center" vertical="center" wrapText="1"/>
    </xf>
    <xf numFmtId="9" fontId="13" fillId="0" borderId="0" xfId="35" applyFont="1" applyBorder="1" applyAlignment="1">
      <alignment horizontal="center" vertical="center" wrapText="1"/>
    </xf>
    <xf numFmtId="9" fontId="15" fillId="0" borderId="0" xfId="35" applyFont="1" applyBorder="1" applyAlignment="1">
      <alignment horizontal="center" vertical="center" wrapText="1"/>
    </xf>
    <xf numFmtId="9" fontId="25" fillId="0" borderId="0" xfId="35" applyFont="1" applyBorder="1" applyAlignment="1">
      <alignment horizontal="center" vertical="center"/>
    </xf>
    <xf numFmtId="3" fontId="25" fillId="0" borderId="11" xfId="35" applyNumberFormat="1" applyFont="1" applyBorder="1" applyAlignment="1">
      <alignment horizontal="center" vertical="center"/>
    </xf>
    <xf numFmtId="3" fontId="25" fillId="0" borderId="5" xfId="35" applyNumberFormat="1" applyFont="1" applyBorder="1" applyAlignment="1">
      <alignment horizontal="center" vertical="center"/>
    </xf>
    <xf numFmtId="0" fontId="25" fillId="0" borderId="83" xfId="33" applyFont="1" applyBorder="1" applyAlignment="1">
      <alignment horizontal="center"/>
    </xf>
    <xf numFmtId="9" fontId="15" fillId="0" borderId="84" xfId="35" applyFont="1" applyBorder="1" applyAlignment="1">
      <alignment horizontal="center" vertical="center" wrapText="1"/>
    </xf>
    <xf numFmtId="9" fontId="13" fillId="0" borderId="85" xfId="35" applyFont="1" applyBorder="1" applyAlignment="1">
      <alignment horizontal="center" vertical="center" wrapText="1"/>
    </xf>
    <xf numFmtId="9" fontId="15" fillId="0" borderId="85" xfId="35" applyFont="1" applyBorder="1" applyAlignment="1">
      <alignment horizontal="center" vertical="center" wrapText="1"/>
    </xf>
    <xf numFmtId="9" fontId="25" fillId="0" borderId="85" xfId="35" applyFont="1" applyBorder="1" applyAlignment="1">
      <alignment horizontal="center" vertical="center"/>
    </xf>
    <xf numFmtId="3" fontId="25" fillId="0" borderId="84" xfId="35" applyNumberFormat="1" applyFont="1" applyBorder="1" applyAlignment="1">
      <alignment horizontal="center" vertical="center"/>
    </xf>
    <xf numFmtId="3" fontId="25" fillId="0" borderId="86" xfId="35" applyNumberFormat="1" applyFont="1" applyBorder="1" applyAlignment="1">
      <alignment horizontal="center" vertical="center"/>
    </xf>
    <xf numFmtId="0" fontId="25" fillId="0" borderId="87" xfId="33" applyFont="1" applyBorder="1" applyAlignment="1">
      <alignment horizontal="center"/>
    </xf>
    <xf numFmtId="9" fontId="15" fillId="0" borderId="88" xfId="35" applyFont="1" applyBorder="1" applyAlignment="1">
      <alignment horizontal="center" vertical="center" wrapText="1"/>
    </xf>
    <xf numFmtId="9" fontId="13" fillId="0" borderId="89" xfId="35" applyFont="1" applyBorder="1" applyAlignment="1">
      <alignment horizontal="center" vertical="center" wrapText="1"/>
    </xf>
    <xf numFmtId="9" fontId="15" fillId="0" borderId="89" xfId="35" applyFont="1" applyBorder="1" applyAlignment="1">
      <alignment horizontal="center" vertical="center" wrapText="1"/>
    </xf>
    <xf numFmtId="9" fontId="25" fillId="0" borderId="89" xfId="35" applyFont="1" applyBorder="1" applyAlignment="1">
      <alignment horizontal="center" vertical="center"/>
    </xf>
    <xf numFmtId="3" fontId="25" fillId="0" borderId="88" xfId="35" applyNumberFormat="1" applyFont="1" applyBorder="1" applyAlignment="1">
      <alignment horizontal="center" vertical="center"/>
    </xf>
    <xf numFmtId="3" fontId="25" fillId="0" borderId="90" xfId="35" applyNumberFormat="1" applyFont="1" applyBorder="1" applyAlignment="1">
      <alignment horizontal="center" vertical="center"/>
    </xf>
    <xf numFmtId="9" fontId="25" fillId="0" borderId="0" xfId="32" applyFont="1"/>
    <xf numFmtId="9" fontId="25" fillId="0" borderId="0" xfId="35" applyFont="1" applyBorder="1" applyAlignment="1">
      <alignment horizontal="center"/>
    </xf>
    <xf numFmtId="9" fontId="25" fillId="0" borderId="85" xfId="35" applyFont="1" applyBorder="1" applyAlignment="1">
      <alignment horizontal="center"/>
    </xf>
    <xf numFmtId="169" fontId="25" fillId="0" borderId="0" xfId="32" applyNumberFormat="1" applyFont="1"/>
    <xf numFmtId="10" fontId="25" fillId="0" borderId="0" xfId="33" applyNumberFormat="1" applyFont="1"/>
    <xf numFmtId="0" fontId="25" fillId="6" borderId="4" xfId="33" applyFont="1" applyFill="1" applyBorder="1" applyAlignment="1">
      <alignment horizontal="center"/>
    </xf>
    <xf numFmtId="9" fontId="15" fillId="6" borderId="11" xfId="35" applyFont="1" applyFill="1" applyBorder="1" applyAlignment="1">
      <alignment horizontal="center" vertical="center" wrapText="1"/>
    </xf>
    <xf numFmtId="9" fontId="13" fillId="6" borderId="0" xfId="35" applyFont="1" applyFill="1" applyBorder="1" applyAlignment="1">
      <alignment horizontal="center" vertical="center" wrapText="1"/>
    </xf>
    <xf numFmtId="9" fontId="15" fillId="6" borderId="0" xfId="35" applyFont="1" applyFill="1" applyBorder="1" applyAlignment="1">
      <alignment horizontal="center" vertical="center" wrapText="1"/>
    </xf>
    <xf numFmtId="9" fontId="25" fillId="6" borderId="0" xfId="35" applyFont="1" applyFill="1" applyBorder="1" applyAlignment="1">
      <alignment horizontal="center"/>
    </xf>
    <xf numFmtId="9" fontId="25" fillId="6" borderId="0" xfId="35" applyFont="1" applyFill="1" applyBorder="1" applyAlignment="1">
      <alignment horizontal="center" vertical="center"/>
    </xf>
    <xf numFmtId="3" fontId="25" fillId="6" borderId="11" xfId="35" applyNumberFormat="1" applyFont="1" applyFill="1" applyBorder="1" applyAlignment="1">
      <alignment horizontal="center" vertical="center"/>
    </xf>
    <xf numFmtId="3" fontId="25" fillId="6" borderId="5" xfId="35" applyNumberFormat="1" applyFont="1" applyFill="1" applyBorder="1" applyAlignment="1">
      <alignment horizontal="center" vertical="center"/>
    </xf>
    <xf numFmtId="9" fontId="25" fillId="0" borderId="0" xfId="33" applyNumberFormat="1" applyFont="1"/>
    <xf numFmtId="0" fontId="25" fillId="0" borderId="16" xfId="33" applyFont="1" applyBorder="1" applyAlignment="1">
      <alignment horizontal="center" vertical="center"/>
    </xf>
    <xf numFmtId="9" fontId="19" fillId="0" borderId="17" xfId="33" applyNumberFormat="1" applyFont="1" applyBorder="1" applyAlignment="1">
      <alignment horizontal="center"/>
    </xf>
    <xf numFmtId="9" fontId="24" fillId="0" borderId="18" xfId="35" applyFont="1" applyBorder="1" applyAlignment="1">
      <alignment horizontal="center"/>
    </xf>
    <xf numFmtId="9" fontId="19" fillId="0" borderId="17" xfId="35" applyFont="1" applyBorder="1" applyAlignment="1">
      <alignment horizontal="center" vertical="center" wrapText="1"/>
    </xf>
    <xf numFmtId="9" fontId="19" fillId="0" borderId="18" xfId="35" applyFont="1" applyBorder="1" applyAlignment="1">
      <alignment horizontal="center" vertical="center" wrapText="1"/>
    </xf>
    <xf numFmtId="9" fontId="25" fillId="0" borderId="18" xfId="35" applyFont="1" applyBorder="1" applyAlignment="1">
      <alignment horizontal="center"/>
    </xf>
    <xf numFmtId="168" fontId="24" fillId="0" borderId="17" xfId="33" applyNumberFormat="1" applyFont="1" applyBorder="1" applyAlignment="1">
      <alignment horizontal="center"/>
    </xf>
    <xf numFmtId="3" fontId="24" fillId="0" borderId="26" xfId="33" applyNumberFormat="1" applyFont="1" applyBorder="1" applyAlignment="1">
      <alignment horizontal="center"/>
    </xf>
    <xf numFmtId="0" fontId="0" fillId="0" borderId="0" xfId="33" applyFont="1"/>
    <xf numFmtId="0" fontId="0" fillId="0" borderId="20" xfId="33" applyFont="1" applyBorder="1" applyAlignment="1">
      <alignment vertical="center" wrapText="1"/>
    </xf>
    <xf numFmtId="0" fontId="0" fillId="0" borderId="10" xfId="33" applyFont="1" applyBorder="1" applyAlignment="1">
      <alignment vertical="center" wrapText="1"/>
    </xf>
    <xf numFmtId="0" fontId="0" fillId="0" borderId="21" xfId="33" applyFont="1" applyBorder="1" applyAlignment="1">
      <alignment vertical="center" wrapText="1"/>
    </xf>
    <xf numFmtId="0" fontId="19" fillId="0" borderId="0" xfId="33" applyFont="1"/>
    <xf numFmtId="0" fontId="25" fillId="0" borderId="11" xfId="33" applyFont="1" applyBorder="1"/>
    <xf numFmtId="0" fontId="19" fillId="0" borderId="32" xfId="33" applyFont="1" applyBorder="1"/>
    <xf numFmtId="0" fontId="25" fillId="0" borderId="22" xfId="33" applyFont="1" applyBorder="1"/>
    <xf numFmtId="0" fontId="25" fillId="0" borderId="23" xfId="33" applyFont="1" applyBorder="1"/>
    <xf numFmtId="0" fontId="19" fillId="0" borderId="23" xfId="33" applyFont="1" applyBorder="1"/>
    <xf numFmtId="0" fontId="19" fillId="0" borderId="24" xfId="33" applyFont="1" applyBorder="1"/>
    <xf numFmtId="0" fontId="25" fillId="0" borderId="0" xfId="34"/>
    <xf numFmtId="9" fontId="25" fillId="0" borderId="0" xfId="34" applyNumberFormat="1"/>
    <xf numFmtId="169" fontId="25" fillId="0" borderId="0" xfId="34" applyNumberFormat="1"/>
    <xf numFmtId="0" fontId="63" fillId="5" borderId="0" xfId="0" applyFont="1" applyFill="1"/>
  </cellXfs>
  <cellStyles count="36">
    <cellStyle name="Comma 10" xfId="20" xr:uid="{00000000-0005-0000-0000-000000000000}"/>
    <cellStyle name="Comma 13" xfId="5" xr:uid="{00000000-0005-0000-0000-000001000000}"/>
    <cellStyle name="Comma 2" xfId="9" xr:uid="{00000000-0005-0000-0000-000002000000}"/>
    <cellStyle name="Comma 2 5" xfId="19" xr:uid="{00000000-0005-0000-0000-000003000000}"/>
    <cellStyle name="Hyperlink" xfId="30" builtinId="8"/>
    <cellStyle name="Hyperlink 2" xfId="17" xr:uid="{00000000-0005-0000-0000-000005000000}"/>
    <cellStyle name="Normal" xfId="0" builtinId="0"/>
    <cellStyle name="Normal 10" xfId="16" xr:uid="{00000000-0005-0000-0000-000007000000}"/>
    <cellStyle name="Normal 11 2" xfId="2" xr:uid="{00000000-0005-0000-0000-000008000000}"/>
    <cellStyle name="Normal 15 4" xfId="4" xr:uid="{00000000-0005-0000-0000-000009000000}"/>
    <cellStyle name="Normal 2" xfId="7" xr:uid="{00000000-0005-0000-0000-00000A000000}"/>
    <cellStyle name="Normal 2 2" xfId="18" xr:uid="{00000000-0005-0000-0000-00000B000000}"/>
    <cellStyle name="Normal 2 3" xfId="23" xr:uid="{00000000-0005-0000-0000-00000C000000}"/>
    <cellStyle name="Normal 2 4" xfId="34" xr:uid="{1C1119C4-43F2-44CD-B7C3-4B9CB67D0540}"/>
    <cellStyle name="Normal 22" xfId="24" xr:uid="{00000000-0005-0000-0000-00000D000000}"/>
    <cellStyle name="Normal 29" xfId="25" xr:uid="{00000000-0005-0000-0000-00000E000000}"/>
    <cellStyle name="Normal 3" xfId="10" xr:uid="{00000000-0005-0000-0000-00000F000000}"/>
    <cellStyle name="Normal 3 2 2 2" xfId="28" xr:uid="{00000000-0005-0000-0000-000010000000}"/>
    <cellStyle name="Normal 32" xfId="33" xr:uid="{B4327CFD-7E16-467B-9692-EE762F1F17E8}"/>
    <cellStyle name="Normal 34" xfId="27" xr:uid="{00000000-0005-0000-0000-000011000000}"/>
    <cellStyle name="Normal 36" xfId="6" xr:uid="{00000000-0005-0000-0000-000012000000}"/>
    <cellStyle name="Normal 4" xfId="13" xr:uid="{00000000-0005-0000-0000-000013000000}"/>
    <cellStyle name="Normal 5" xfId="14" xr:uid="{00000000-0005-0000-0000-000014000000}"/>
    <cellStyle name="Normal 6" xfId="15" xr:uid="{00000000-0005-0000-0000-000015000000}"/>
    <cellStyle name="Normal 7" xfId="21" xr:uid="{00000000-0005-0000-0000-000016000000}"/>
    <cellStyle name="Normal 8" xfId="22" xr:uid="{00000000-0005-0000-0000-000017000000}"/>
    <cellStyle name="Normal 9" xfId="31" xr:uid="{2306BD8E-9786-4C11-8ADE-4B5E628AC025}"/>
    <cellStyle name="Normal_AppendixTables(NationalAccountsData).xls" xfId="3" xr:uid="{00000000-0005-0000-0000-000018000000}"/>
    <cellStyle name="Percent" xfId="1" builtinId="5"/>
    <cellStyle name="Percent 17" xfId="29" xr:uid="{00000000-0005-0000-0000-00001A000000}"/>
    <cellStyle name="Percent 2" xfId="8" xr:uid="{00000000-0005-0000-0000-00001B000000}"/>
    <cellStyle name="Percent 2 2" xfId="35" xr:uid="{6B547460-0F83-4FEB-ABAE-1A314292AB95}"/>
    <cellStyle name="Percent 3" xfId="11" xr:uid="{00000000-0005-0000-0000-00001C000000}"/>
    <cellStyle name="Percent 4" xfId="32" xr:uid="{E716F62E-5C17-4B22-B2CB-47010913B241}"/>
    <cellStyle name="Percent 6" xfId="26" xr:uid="{00000000-0005-0000-0000-00001D000000}"/>
    <cellStyle name="Procent 2" xfId="12" xr:uid="{00000000-0005-0000-0000-00001E000000}"/>
  </cellStyles>
  <dxfs count="1">
    <dxf>
      <font>
        <color theme="0"/>
      </font>
    </dxf>
  </dxfs>
  <tableStyles count="0" defaultTableStyle="TableStyleMedium2" defaultPivotStyle="PivotStyleLight16"/>
  <colors>
    <mruColors>
      <color rgb="FFFF7C80"/>
      <color rgb="FFEAA192"/>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7.xml"/><Relationship Id="rId18" Type="http://schemas.openxmlformats.org/officeDocument/2006/relationships/chartsheet" Target="chartsheets/sheet7.xml"/><Relationship Id="rId26" Type="http://schemas.openxmlformats.org/officeDocument/2006/relationships/worksheet" Target="worksheets/sheet19.xml"/><Relationship Id="rId39" Type="http://schemas.openxmlformats.org/officeDocument/2006/relationships/externalLink" Target="externalLinks/externalLink9.xml"/><Relationship Id="rId21" Type="http://schemas.openxmlformats.org/officeDocument/2006/relationships/worksheet" Target="worksheets/sheet14.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worksheet" Target="worksheets/sheet10.xml"/><Relationship Id="rId29" Type="http://schemas.openxmlformats.org/officeDocument/2006/relationships/worksheet" Target="worksheets/sheet22.xml"/><Relationship Id="rId11" Type="http://schemas.openxmlformats.org/officeDocument/2006/relationships/chartsheet" Target="chartsheets/sheet6.xml"/><Relationship Id="rId24" Type="http://schemas.openxmlformats.org/officeDocument/2006/relationships/worksheet" Target="worksheets/sheet17.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worksheet" Target="worksheets/sheet9.xml"/><Relationship Id="rId23" Type="http://schemas.openxmlformats.org/officeDocument/2006/relationships/worksheet" Target="worksheets/sheet16.xml"/><Relationship Id="rId28" Type="http://schemas.openxmlformats.org/officeDocument/2006/relationships/worksheet" Target="worksheets/sheet21.xml"/><Relationship Id="rId36" Type="http://schemas.openxmlformats.org/officeDocument/2006/relationships/externalLink" Target="externalLinks/externalLink6.xml"/><Relationship Id="rId49" Type="http://schemas.openxmlformats.org/officeDocument/2006/relationships/customXml" Target="../customXml/item1.xml"/><Relationship Id="rId10" Type="http://schemas.openxmlformats.org/officeDocument/2006/relationships/worksheet" Target="worksheets/sheet5.xml"/><Relationship Id="rId19" Type="http://schemas.openxmlformats.org/officeDocument/2006/relationships/worksheet" Target="worksheets/sheet12.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chartsheet" Target="chartsheets/sheet2.xml"/><Relationship Id="rId9" Type="http://schemas.openxmlformats.org/officeDocument/2006/relationships/chartsheet" Target="chartsheets/sheet5.xml"/><Relationship Id="rId14" Type="http://schemas.openxmlformats.org/officeDocument/2006/relationships/worksheet" Target="worksheets/sheet8.xml"/><Relationship Id="rId22" Type="http://schemas.openxmlformats.org/officeDocument/2006/relationships/worksheet" Target="worksheets/sheet15.xml"/><Relationship Id="rId27" Type="http://schemas.openxmlformats.org/officeDocument/2006/relationships/worksheet" Target="worksheets/sheet20.xml"/><Relationship Id="rId30" Type="http://schemas.openxmlformats.org/officeDocument/2006/relationships/worksheet" Target="worksheets/sheet23.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calcChain" Target="calcChain.xml"/><Relationship Id="rId8" Type="http://schemas.openxmlformats.org/officeDocument/2006/relationships/worksheet" Target="worksheets/sheet4.xml"/><Relationship Id="rId3" Type="http://schemas.openxmlformats.org/officeDocument/2006/relationships/chartsheet" Target="chartsheets/sheet1.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worksheet" Target="worksheets/sheet18.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styles" Target="styles.xml"/><Relationship Id="rId20" Type="http://schemas.openxmlformats.org/officeDocument/2006/relationships/worksheet" Target="worksheets/sheet13.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chartsheet" Target="chart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(2015)                                                             </a:t>
            </a:r>
            <a:r>
              <a:rPr lang="en-US" sz="2200" b="0" baseline="0"/>
              <a:t>(% of compensation of employees)</a:t>
            </a:r>
            <a:endParaRPr lang="en-US" sz="2200" b="0"/>
          </a:p>
        </c:rich>
      </c:tx>
      <c:layout>
        <c:manualLayout>
          <c:xMode val="edge"/>
          <c:yMode val="edge"/>
          <c:x val="0.33005346155500997"/>
          <c:y val="4.1577438803413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v>Foreign firms</c:v>
          </c:tx>
          <c:spPr>
            <a:solidFill>
              <a:srgbClr val="EAA192"/>
            </a:solidFill>
            <a:ln>
              <a:noFill/>
            </a:ln>
          </c:spPr>
          <c:invertIfNegative val="0"/>
          <c:dLbls>
            <c:dLbl>
              <c:idx val="0"/>
              <c:layout>
                <c:manualLayout>
                  <c:x val="-7.2966127467867598E-2"/>
                  <c:y val="4.0860709499779303E-2"/>
                </c:manualLayout>
              </c:layout>
              <c:spPr/>
              <c:txPr>
                <a:bodyPr/>
                <a:lstStyle/>
                <a:p>
                  <a:pPr>
                    <a:defRPr sz="1800"/>
                  </a:pPr>
                  <a:endParaRPr lang="en-DK"/>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DA-4DF5-BC5C-0DC8DB4620BF}"/>
                </c:ext>
              </c:extLst>
            </c:dLbl>
            <c:dLbl>
              <c:idx val="1"/>
              <c:delete val="1"/>
              <c:extLst>
                <c:ext xmlns:c15="http://schemas.microsoft.com/office/drawing/2012/chart" uri="{CE6537A1-D6FC-4f65-9D91-7224C49458BB}"/>
                <c:ext xmlns:c16="http://schemas.microsoft.com/office/drawing/2014/chart" uri="{C3380CC4-5D6E-409C-BE32-E72D297353CC}">
                  <c16:uniqueId val="{00000001-93DA-4DF5-BC5C-0DC8DB4620BF}"/>
                </c:ext>
              </c:extLst>
            </c:dLbl>
            <c:dLbl>
              <c:idx val="2"/>
              <c:delete val="1"/>
              <c:extLst>
                <c:ext xmlns:c15="http://schemas.microsoft.com/office/drawing/2012/chart" uri="{CE6537A1-D6FC-4f65-9D91-7224C49458BB}"/>
                <c:ext xmlns:c16="http://schemas.microsoft.com/office/drawing/2014/chart" uri="{C3380CC4-5D6E-409C-BE32-E72D297353CC}">
                  <c16:uniqueId val="{00000002-93DA-4DF5-BC5C-0DC8DB4620BF}"/>
                </c:ext>
              </c:extLst>
            </c:dLbl>
            <c:dLbl>
              <c:idx val="3"/>
              <c:delete val="1"/>
              <c:extLst>
                <c:ext xmlns:c15="http://schemas.microsoft.com/office/drawing/2012/chart" uri="{CE6537A1-D6FC-4f65-9D91-7224C49458BB}"/>
                <c:ext xmlns:c16="http://schemas.microsoft.com/office/drawing/2014/chart" uri="{C3380CC4-5D6E-409C-BE32-E72D297353CC}">
                  <c16:uniqueId val="{00000003-93DA-4DF5-BC5C-0DC8DB4620BF}"/>
                </c:ext>
              </c:extLst>
            </c:dLbl>
            <c:dLbl>
              <c:idx val="4"/>
              <c:delete val="1"/>
              <c:extLst>
                <c:ext xmlns:c15="http://schemas.microsoft.com/office/drawing/2012/chart" uri="{CE6537A1-D6FC-4f65-9D91-7224C49458BB}"/>
                <c:ext xmlns:c16="http://schemas.microsoft.com/office/drawing/2014/chart" uri="{C3380CC4-5D6E-409C-BE32-E72D297353CC}">
                  <c16:uniqueId val="{00000004-93DA-4DF5-BC5C-0DC8DB4620BF}"/>
                </c:ext>
              </c:extLst>
            </c:dLbl>
            <c:dLbl>
              <c:idx val="5"/>
              <c:delete val="1"/>
              <c:extLst>
                <c:ext xmlns:c15="http://schemas.microsoft.com/office/drawing/2012/chart" uri="{CE6537A1-D6FC-4f65-9D91-7224C49458BB}"/>
                <c:ext xmlns:c16="http://schemas.microsoft.com/office/drawing/2014/chart" uri="{C3380CC4-5D6E-409C-BE32-E72D297353CC}">
                  <c16:uniqueId val="{00000005-93DA-4DF5-BC5C-0DC8DB4620BF}"/>
                </c:ext>
              </c:extLst>
            </c:dLbl>
            <c:dLbl>
              <c:idx val="6"/>
              <c:delete val="1"/>
              <c:extLst>
                <c:ext xmlns:c15="http://schemas.microsoft.com/office/drawing/2012/chart" uri="{CE6537A1-D6FC-4f65-9D91-7224C49458BB}"/>
                <c:ext xmlns:c16="http://schemas.microsoft.com/office/drawing/2014/chart" uri="{C3380CC4-5D6E-409C-BE32-E72D297353CC}">
                  <c16:uniqueId val="{00000006-93DA-4DF5-BC5C-0DC8DB4620BF}"/>
                </c:ext>
              </c:extLst>
            </c:dLbl>
            <c:dLbl>
              <c:idx val="7"/>
              <c:delete val="1"/>
              <c:extLst>
                <c:ext xmlns:c15="http://schemas.microsoft.com/office/drawing/2012/chart" uri="{CE6537A1-D6FC-4f65-9D91-7224C49458BB}"/>
                <c:ext xmlns:c16="http://schemas.microsoft.com/office/drawing/2014/chart" uri="{C3380CC4-5D6E-409C-BE32-E72D297353CC}">
                  <c16:uniqueId val="{00000007-93DA-4DF5-BC5C-0DC8DB4620BF}"/>
                </c:ext>
              </c:extLst>
            </c:dLbl>
            <c:dLbl>
              <c:idx val="8"/>
              <c:delete val="1"/>
              <c:extLst>
                <c:ext xmlns:c15="http://schemas.microsoft.com/office/drawing/2012/chart" uri="{CE6537A1-D6FC-4f65-9D91-7224C49458BB}"/>
                <c:ext xmlns:c16="http://schemas.microsoft.com/office/drawing/2014/chart" uri="{C3380CC4-5D6E-409C-BE32-E72D297353CC}">
                  <c16:uniqueId val="{00000008-93DA-4DF5-BC5C-0DC8DB4620BF}"/>
                </c:ext>
              </c:extLst>
            </c:dLbl>
            <c:dLbl>
              <c:idx val="9"/>
              <c:delete val="1"/>
              <c:extLst>
                <c:ext xmlns:c15="http://schemas.microsoft.com/office/drawing/2012/chart" uri="{CE6537A1-D6FC-4f65-9D91-7224C49458BB}"/>
                <c:ext xmlns:c16="http://schemas.microsoft.com/office/drawing/2014/chart" uri="{C3380CC4-5D6E-409C-BE32-E72D297353CC}">
                  <c16:uniqueId val="{00000009-93DA-4DF5-BC5C-0DC8DB4620BF}"/>
                </c:ext>
              </c:extLst>
            </c:dLbl>
            <c:dLbl>
              <c:idx val="10"/>
              <c:delete val="1"/>
              <c:extLst>
                <c:ext xmlns:c15="http://schemas.microsoft.com/office/drawing/2012/chart" uri="{CE6537A1-D6FC-4f65-9D91-7224C49458BB}"/>
                <c:ext xmlns:c16="http://schemas.microsoft.com/office/drawing/2014/chart" uri="{C3380CC4-5D6E-409C-BE32-E72D297353CC}">
                  <c16:uniqueId val="{0000000A-93DA-4DF5-BC5C-0DC8DB4620BF}"/>
                </c:ext>
              </c:extLst>
            </c:dLbl>
            <c:dLbl>
              <c:idx val="11"/>
              <c:delete val="1"/>
              <c:extLst>
                <c:ext xmlns:c15="http://schemas.microsoft.com/office/drawing/2012/chart" uri="{CE6537A1-D6FC-4f65-9D91-7224C49458BB}"/>
                <c:ext xmlns:c16="http://schemas.microsoft.com/office/drawing/2014/chart" uri="{C3380CC4-5D6E-409C-BE32-E72D297353CC}">
                  <c16:uniqueId val="{0000000B-93DA-4DF5-BC5C-0DC8DB4620BF}"/>
                </c:ext>
              </c:extLst>
            </c:dLbl>
            <c:dLbl>
              <c:idx val="12"/>
              <c:delete val="1"/>
              <c:extLst>
                <c:ext xmlns:c15="http://schemas.microsoft.com/office/drawing/2012/chart" uri="{CE6537A1-D6FC-4f65-9D91-7224C49458BB}"/>
                <c:ext xmlns:c16="http://schemas.microsoft.com/office/drawing/2014/chart" uri="{C3380CC4-5D6E-409C-BE32-E72D297353CC}">
                  <c16:uniqueId val="{0000000C-93DA-4DF5-BC5C-0DC8DB4620BF}"/>
                </c:ext>
              </c:extLst>
            </c:dLbl>
            <c:dLbl>
              <c:idx val="13"/>
              <c:delete val="1"/>
              <c:extLst>
                <c:ext xmlns:c15="http://schemas.microsoft.com/office/drawing/2012/chart" uri="{CE6537A1-D6FC-4f65-9D91-7224C49458BB}"/>
                <c:ext xmlns:c16="http://schemas.microsoft.com/office/drawing/2014/chart" uri="{C3380CC4-5D6E-409C-BE32-E72D297353CC}">
                  <c16:uniqueId val="{0000000D-93DA-4DF5-BC5C-0DC8DB4620BF}"/>
                </c:ext>
              </c:extLst>
            </c:dLbl>
            <c:dLbl>
              <c:idx val="14"/>
              <c:delete val="1"/>
              <c:extLst>
                <c:ext xmlns:c15="http://schemas.microsoft.com/office/drawing/2012/chart" uri="{CE6537A1-D6FC-4f65-9D91-7224C49458BB}"/>
                <c:ext xmlns:c16="http://schemas.microsoft.com/office/drawing/2014/chart" uri="{C3380CC4-5D6E-409C-BE32-E72D297353CC}">
                  <c16:uniqueId val="{0000000E-93DA-4DF5-BC5C-0DC8DB4620BF}"/>
                </c:ext>
              </c:extLst>
            </c:dLbl>
            <c:dLbl>
              <c:idx val="15"/>
              <c:delete val="1"/>
              <c:extLst>
                <c:ext xmlns:c15="http://schemas.microsoft.com/office/drawing/2012/chart" uri="{CE6537A1-D6FC-4f65-9D91-7224C49458BB}"/>
                <c:ext xmlns:c16="http://schemas.microsoft.com/office/drawing/2014/chart" uri="{C3380CC4-5D6E-409C-BE32-E72D297353CC}">
                  <c16:uniqueId val="{0000000F-93DA-4DF5-BC5C-0DC8DB4620B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'DataF1-3'!$A$2:$A$17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'DataF1-3'!$F$2:$F$17</c:f>
              <c:numCache>
                <c:formatCode>0%</c:formatCode>
                <c:ptCount val="16"/>
                <c:pt idx="0">
                  <c:v>16.745534629218685</c:v>
                </c:pt>
                <c:pt idx="1">
                  <c:v>7.9996490577609283</c:v>
                </c:pt>
                <c:pt idx="2">
                  <c:v>4.6076539817790847</c:v>
                </c:pt>
                <c:pt idx="3">
                  <c:v>3.1934639833073937</c:v>
                </c:pt>
                <c:pt idx="4">
                  <c:v>2.1814755318098822</c:v>
                </c:pt>
                <c:pt idx="5">
                  <c:v>2.1348906384735855</c:v>
                </c:pt>
                <c:pt idx="6">
                  <c:v>1.1495705968665206</c:v>
                </c:pt>
                <c:pt idx="7">
                  <c:v>0.67980103327038299</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10-93DA-4DF5-BC5C-0DC8DB4620BF}"/>
            </c:ext>
          </c:extLst>
        </c:ser>
        <c:ser>
          <c:idx val="2"/>
          <c:order val="1"/>
          <c:tx>
            <c:v>Local firms</c:v>
          </c:tx>
          <c:spPr>
            <a:solidFill>
              <a:schemeClr val="tx1"/>
            </a:solidFill>
          </c:spPr>
          <c:invertIfNegative val="0"/>
          <c:cat>
            <c:strRef>
              <c:f>'DataF1-3'!$A$2:$A$17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'DataF1-3'!$C$2:$C$17</c:f>
              <c:numCache>
                <c:formatCode>0%</c:formatCode>
                <c:ptCount val="16"/>
                <c:pt idx="0">
                  <c:v>0.47996308817683037</c:v>
                </c:pt>
                <c:pt idx="1">
                  <c:v>0.68416351867003244</c:v>
                </c:pt>
                <c:pt idx="2">
                  <c:v>0.40461450275815142</c:v>
                </c:pt>
                <c:pt idx="3">
                  <c:v>0.11438915202699569</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11-93DA-4DF5-BC5C-0DC8DB4620BF}"/>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DK"/>
          </a:p>
        </c:txPr>
        <c:crossAx val="-2139120696"/>
        <c:crosses val="autoZero"/>
        <c:auto val="1"/>
        <c:lblAlgn val="ctr"/>
        <c:lblOffset val="100"/>
        <c:noMultiLvlLbl val="0"/>
      </c:catAx>
      <c:valAx>
        <c:axId val="-2139120696"/>
        <c:scaling>
          <c:orientation val="minMax"/>
          <c:max val="9"/>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2139123768"/>
        <c:crosses val="autoZero"/>
        <c:crossBetween val="between"/>
        <c:majorUnit val="2"/>
        <c:minorUnit val="0.2"/>
      </c:valAx>
    </c:plotArea>
    <c:legend>
      <c:legendPos val="r"/>
      <c:layout>
        <c:manualLayout>
          <c:xMode val="edge"/>
          <c:yMode val="edge"/>
          <c:x val="0.67896174863388004"/>
          <c:y val="0.446236780548875"/>
          <c:w val="0.21430970054024701"/>
          <c:h val="0.13680250783699099"/>
        </c:manualLayout>
      </c:layout>
      <c:overlay val="0"/>
      <c:txPr>
        <a:bodyPr/>
        <a:lstStyle/>
        <a:p>
          <a:pPr>
            <a:defRPr sz="1800"/>
          </a:pPr>
          <a:endParaRPr lang="en-DK"/>
        </a:p>
      </c:txPr>
    </c:legend>
    <c:plotVisOnly val="1"/>
    <c:dispBlanksAs val="gap"/>
    <c:showDLblsOverMax val="0"/>
  </c:chart>
  <c:spPr>
    <a:ln>
      <a:noFill/>
    </a:ln>
  </c:spPr>
  <c:txPr>
    <a:bodyPr/>
    <a:lstStyle/>
    <a:p>
      <a:pPr>
        <a:defRPr>
          <a:latin typeface="Garamond" panose="02020404030301010803" pitchFamily="18" charset="0"/>
        </a:defRPr>
      </a:pPr>
      <a:endParaRPr lang="en-DK"/>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(2019)                                                             </a:t>
            </a:r>
            <a:r>
              <a:rPr lang="en-US" sz="2200" b="0" baseline="0"/>
              <a:t>(% of compensation of employees)</a:t>
            </a:r>
            <a:endParaRPr lang="en-US" sz="2200" b="0"/>
          </a:p>
        </c:rich>
      </c:tx>
      <c:layout>
        <c:manualLayout>
          <c:xMode val="edge"/>
          <c:yMode val="edge"/>
          <c:x val="0.33005346155500997"/>
          <c:y val="4.1577438803413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2"/>
          <c:order val="0"/>
          <c:tx>
            <c:v>Foreign firms</c:v>
          </c:tx>
          <c:spPr>
            <a:solidFill>
              <a:srgbClr val="EAA192"/>
            </a:solidFill>
          </c:spPr>
          <c:invertIfNegative val="0"/>
          <c:cat>
            <c:strRef>
              <c:f>'DataF1-3'!$K$2:$K$17</c:f>
              <c:strCache>
                <c:ptCount val="16"/>
                <c:pt idx="0">
                  <c:v>Puerto Rico</c:v>
                </c:pt>
                <c:pt idx="1">
                  <c:v>Luxembourg</c:v>
                </c:pt>
                <c:pt idx="2">
                  <c:v>Ireland</c:v>
                </c:pt>
                <c:pt idx="3">
                  <c:v>Singapore</c:v>
                </c:pt>
                <c:pt idx="4">
                  <c:v>Switzerland</c:v>
                </c:pt>
                <c:pt idx="5">
                  <c:v>Netherlands</c:v>
                </c:pt>
                <c:pt idx="6">
                  <c:v>Hong Kong</c:v>
                </c:pt>
                <c:pt idx="7">
                  <c:v>Belgium</c:v>
                </c:pt>
                <c:pt idx="8">
                  <c:v>US</c:v>
                </c:pt>
                <c:pt idx="9">
                  <c:v>UK</c:v>
                </c:pt>
                <c:pt idx="10">
                  <c:v>Australia</c:v>
                </c:pt>
                <c:pt idx="11">
                  <c:v>Spain</c:v>
                </c:pt>
                <c:pt idx="12">
                  <c:v>France</c:v>
                </c:pt>
                <c:pt idx="13">
                  <c:v>Japan</c:v>
                </c:pt>
                <c:pt idx="14">
                  <c:v>Italy</c:v>
                </c:pt>
                <c:pt idx="15">
                  <c:v>Germany</c:v>
                </c:pt>
              </c:strCache>
            </c:strRef>
          </c:cat>
          <c:val>
            <c:numRef>
              <c:f>'DataF1-3'!$M$2:$M$17</c:f>
              <c:numCache>
                <c:formatCode>0%</c:formatCode>
                <c:ptCount val="16"/>
                <c:pt idx="0">
                  <c:v>16.862905290693288</c:v>
                </c:pt>
                <c:pt idx="1">
                  <c:v>6.0017309947145581</c:v>
                </c:pt>
                <c:pt idx="2">
                  <c:v>4.8707667565440245</c:v>
                </c:pt>
                <c:pt idx="3">
                  <c:v>3.4772954302010231</c:v>
                </c:pt>
                <c:pt idx="4">
                  <c:v>3.3774033365510201</c:v>
                </c:pt>
                <c:pt idx="5">
                  <c:v>1.4446025190750047</c:v>
                </c:pt>
                <c:pt idx="6">
                  <c:v>1.5424815237852951</c:v>
                </c:pt>
                <c:pt idx="7">
                  <c:v>0.99897633686674714</c:v>
                </c:pt>
                <c:pt idx="8">
                  <c:v>0.3265232684118976</c:v>
                </c:pt>
                <c:pt idx="9">
                  <c:v>0.21706324018579973</c:v>
                </c:pt>
                <c:pt idx="10">
                  <c:v>0.27383940346897767</c:v>
                </c:pt>
                <c:pt idx="11">
                  <c:v>0.34409825077208978</c:v>
                </c:pt>
                <c:pt idx="12">
                  <c:v>0.24101540294309456</c:v>
                </c:pt>
                <c:pt idx="13">
                  <c:v>0.20772630191097127</c:v>
                </c:pt>
                <c:pt idx="14">
                  <c:v>0.19299422392759616</c:v>
                </c:pt>
                <c:pt idx="15">
                  <c:v>0.14290749225546756</c:v>
                </c:pt>
              </c:numCache>
            </c:numRef>
          </c:val>
          <c:extLst>
            <c:ext xmlns:c16="http://schemas.microsoft.com/office/drawing/2014/chart" uri="{C3380CC4-5D6E-409C-BE32-E72D297353CC}">
              <c16:uniqueId val="{00000011-9A99-4C67-BE1A-36B657F58AFE}"/>
            </c:ext>
          </c:extLst>
        </c:ser>
        <c:ser>
          <c:idx val="0"/>
          <c:order val="1"/>
          <c:tx>
            <c:v>Local firms</c:v>
          </c:tx>
          <c:spPr>
            <a:solidFill>
              <a:schemeClr val="tx1"/>
            </a:solidFill>
          </c:spPr>
          <c:invertIfNegative val="0"/>
          <c:cat>
            <c:strRef>
              <c:f>'DataF1-3'!$K$2:$K$17</c:f>
              <c:strCache>
                <c:ptCount val="16"/>
                <c:pt idx="0">
                  <c:v>Puerto Rico</c:v>
                </c:pt>
                <c:pt idx="1">
                  <c:v>Luxembourg</c:v>
                </c:pt>
                <c:pt idx="2">
                  <c:v>Ireland</c:v>
                </c:pt>
                <c:pt idx="3">
                  <c:v>Singapore</c:v>
                </c:pt>
                <c:pt idx="4">
                  <c:v>Switzerland</c:v>
                </c:pt>
                <c:pt idx="5">
                  <c:v>Netherlands</c:v>
                </c:pt>
                <c:pt idx="6">
                  <c:v>Hong Kong</c:v>
                </c:pt>
                <c:pt idx="7">
                  <c:v>Belgium</c:v>
                </c:pt>
                <c:pt idx="8">
                  <c:v>US</c:v>
                </c:pt>
                <c:pt idx="9">
                  <c:v>UK</c:v>
                </c:pt>
                <c:pt idx="10">
                  <c:v>Australia</c:v>
                </c:pt>
                <c:pt idx="11">
                  <c:v>Spain</c:v>
                </c:pt>
                <c:pt idx="12">
                  <c:v>France</c:v>
                </c:pt>
                <c:pt idx="13">
                  <c:v>Japan</c:v>
                </c:pt>
                <c:pt idx="14">
                  <c:v>Italy</c:v>
                </c:pt>
                <c:pt idx="15">
                  <c:v>Germany</c:v>
                </c:pt>
              </c:strCache>
            </c:strRef>
          </c:cat>
          <c:val>
            <c:numRef>
              <c:f>'DataF1-3'!$L$2:$L$17</c:f>
              <c:numCache>
                <c:formatCode>0%</c:formatCode>
                <c:ptCount val="16"/>
                <c:pt idx="0">
                  <c:v>0.76</c:v>
                </c:pt>
                <c:pt idx="1">
                  <c:v>0.19095368512060182</c:v>
                </c:pt>
                <c:pt idx="2">
                  <c:v>0.54108783602452259</c:v>
                </c:pt>
                <c:pt idx="3">
                  <c:v>0.76</c:v>
                </c:pt>
                <c:pt idx="4">
                  <c:v>-3.3302306063196528E-2</c:v>
                </c:pt>
                <c:pt idx="5">
                  <c:v>0.29451624027613532</c:v>
                </c:pt>
                <c:pt idx="6">
                  <c:v>0.76</c:v>
                </c:pt>
                <c:pt idx="7">
                  <c:v>0.23294830778779776</c:v>
                </c:pt>
                <c:pt idx="8">
                  <c:v>0.27820831387146505</c:v>
                </c:pt>
                <c:pt idx="9">
                  <c:v>0.40806462381467962</c:v>
                </c:pt>
                <c:pt idx="10">
                  <c:v>0.52575025250045815</c:v>
                </c:pt>
                <c:pt idx="11">
                  <c:v>0.47173462040918634</c:v>
                </c:pt>
                <c:pt idx="12">
                  <c:v>0.22294349652989498</c:v>
                </c:pt>
                <c:pt idx="13">
                  <c:v>0.28484583168710542</c:v>
                </c:pt>
                <c:pt idx="14">
                  <c:v>0.56662222839179799</c:v>
                </c:pt>
                <c:pt idx="15">
                  <c:v>0.3845114590321328</c:v>
                </c:pt>
              </c:numCache>
            </c:numRef>
          </c:val>
          <c:extLst>
            <c:ext xmlns:c16="http://schemas.microsoft.com/office/drawing/2014/chart" uri="{C3380CC4-5D6E-409C-BE32-E72D297353CC}">
              <c16:uniqueId val="{00000010-9A99-4C67-BE1A-36B657F58AFE}"/>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DK"/>
          </a:p>
        </c:txPr>
        <c:crossAx val="-2139120696"/>
        <c:crosses val="autoZero"/>
        <c:auto val="1"/>
        <c:lblAlgn val="ctr"/>
        <c:lblOffset val="100"/>
        <c:noMultiLvlLbl val="0"/>
      </c:catAx>
      <c:valAx>
        <c:axId val="-2139120696"/>
        <c:scaling>
          <c:orientation val="minMax"/>
          <c:max val="13"/>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2139123768"/>
        <c:crosses val="autoZero"/>
        <c:crossBetween val="between"/>
        <c:majorUnit val="2"/>
        <c:minorUnit val="0.2"/>
      </c:valAx>
    </c:plotArea>
    <c:legend>
      <c:legendPos val="r"/>
      <c:layout>
        <c:manualLayout>
          <c:xMode val="edge"/>
          <c:yMode val="edge"/>
          <c:x val="0.68168454281061064"/>
          <c:y val="0.43159793766051824"/>
          <c:w val="0.20341864436594617"/>
          <c:h val="0.16398879021569401"/>
        </c:manualLayout>
      </c:layout>
      <c:overlay val="0"/>
      <c:txPr>
        <a:bodyPr/>
        <a:lstStyle/>
        <a:p>
          <a:pPr>
            <a:defRPr sz="1800"/>
          </a:pPr>
          <a:endParaRPr lang="en-DK"/>
        </a:p>
      </c:txPr>
    </c:legend>
    <c:plotVisOnly val="1"/>
    <c:dispBlanksAs val="gap"/>
    <c:showDLblsOverMax val="0"/>
  </c:chart>
  <c:spPr>
    <a:ln>
      <a:noFill/>
    </a:ln>
  </c:spPr>
  <c:txPr>
    <a:bodyPr/>
    <a:lstStyle/>
    <a:p>
      <a:pPr>
        <a:defRPr>
          <a:latin typeface="Garamond" panose="02020404030301010803" pitchFamily="18" charset="0"/>
        </a:defRPr>
      </a:pPr>
      <a:endParaRPr lang="en-DK"/>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a:t>
            </a:r>
            <a:r>
              <a:rPr lang="en-US" sz="2200" b="0" baseline="0"/>
              <a:t>(% of compensation of employees)</a:t>
            </a:r>
            <a:endParaRPr lang="en-US" sz="2200" b="0"/>
          </a:p>
        </c:rich>
      </c:tx>
      <c:layout>
        <c:manualLayout>
          <c:xMode val="edge"/>
          <c:yMode val="edge"/>
          <c:x val="0.33005346155500997"/>
          <c:y val="4.1577438803413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v>Foreign firms (2015)</c:v>
          </c:tx>
          <c:spPr>
            <a:solidFill>
              <a:srgbClr val="EAA192"/>
            </a:solidFill>
            <a:ln>
              <a:noFill/>
            </a:ln>
          </c:spPr>
          <c:invertIfNegative val="0"/>
          <c:cat>
            <c:strRef>
              <c:f>'DataF1-3'!$A$2:$A$17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'DataF1-3'!$F$2:$F$17</c:f>
              <c:numCache>
                <c:formatCode>0%</c:formatCode>
                <c:ptCount val="16"/>
                <c:pt idx="0">
                  <c:v>16.745534629218685</c:v>
                </c:pt>
                <c:pt idx="1">
                  <c:v>7.9996490577609283</c:v>
                </c:pt>
                <c:pt idx="2">
                  <c:v>4.6076539817790847</c:v>
                </c:pt>
                <c:pt idx="3">
                  <c:v>3.1934639833073937</c:v>
                </c:pt>
                <c:pt idx="4">
                  <c:v>2.1814755318098822</c:v>
                </c:pt>
                <c:pt idx="5">
                  <c:v>2.1348906384735855</c:v>
                </c:pt>
                <c:pt idx="6">
                  <c:v>1.1495705968665206</c:v>
                </c:pt>
                <c:pt idx="7">
                  <c:v>0.67980103327038299</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10-96FE-4533-988B-76C3EC7C51D6}"/>
            </c:ext>
          </c:extLst>
        </c:ser>
        <c:ser>
          <c:idx val="1"/>
          <c:order val="1"/>
          <c:tx>
            <c:v>Foreign firms (2019)</c:v>
          </c:tx>
          <c:spPr>
            <a:solidFill>
              <a:srgbClr val="00B0F0"/>
            </a:solidFill>
          </c:spPr>
          <c:invertIfNegative val="0"/>
          <c:cat>
            <c:strRef>
              <c:f>'DataF1-3'!$A$2:$A$17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'DataF1-3'!$H$2:$H$17</c:f>
              <c:numCache>
                <c:formatCode>0%</c:formatCode>
                <c:ptCount val="16"/>
                <c:pt idx="0">
                  <c:v>16.862905290693288</c:v>
                </c:pt>
                <c:pt idx="1">
                  <c:v>4.8707667565440245</c:v>
                </c:pt>
                <c:pt idx="2">
                  <c:v>6.0017309947145581</c:v>
                </c:pt>
                <c:pt idx="3">
                  <c:v>3.3774033365510201</c:v>
                </c:pt>
                <c:pt idx="4">
                  <c:v>3.4772954302010231</c:v>
                </c:pt>
                <c:pt idx="5">
                  <c:v>1.5424815237852951</c:v>
                </c:pt>
                <c:pt idx="6">
                  <c:v>1.4446025190750047</c:v>
                </c:pt>
                <c:pt idx="7">
                  <c:v>0.99897633686674714</c:v>
                </c:pt>
                <c:pt idx="8">
                  <c:v>0.3265232684118976</c:v>
                </c:pt>
                <c:pt idx="9">
                  <c:v>0.27383940346897767</c:v>
                </c:pt>
                <c:pt idx="10">
                  <c:v>0.21706324018579973</c:v>
                </c:pt>
                <c:pt idx="11">
                  <c:v>0.34409825077208978</c:v>
                </c:pt>
                <c:pt idx="12">
                  <c:v>0.20772630191097127</c:v>
                </c:pt>
                <c:pt idx="13">
                  <c:v>0.24101540294309456</c:v>
                </c:pt>
                <c:pt idx="14">
                  <c:v>0.14290749225546756</c:v>
                </c:pt>
                <c:pt idx="15">
                  <c:v>0.19299422392759616</c:v>
                </c:pt>
              </c:numCache>
            </c:numRef>
          </c:val>
          <c:extLst>
            <c:ext xmlns:c16="http://schemas.microsoft.com/office/drawing/2014/chart" uri="{C3380CC4-5D6E-409C-BE32-E72D297353CC}">
              <c16:uniqueId val="{00000013-96FE-4533-988B-76C3EC7C51D6}"/>
            </c:ext>
          </c:extLst>
        </c:ser>
        <c:ser>
          <c:idx val="2"/>
          <c:order val="2"/>
          <c:tx>
            <c:v>Local firms (2019)</c:v>
          </c:tx>
          <c:spPr>
            <a:solidFill>
              <a:schemeClr val="tx1"/>
            </a:solidFill>
          </c:spPr>
          <c:invertIfNegative val="0"/>
          <c:cat>
            <c:strRef>
              <c:f>'DataF1-3'!$A$2:$A$17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'DataF1-3'!$D$2:$D$17</c:f>
              <c:numCache>
                <c:formatCode>0%</c:formatCode>
                <c:ptCount val="16"/>
                <c:pt idx="0">
                  <c:v>0.76</c:v>
                </c:pt>
                <c:pt idx="1">
                  <c:v>0.54108783602452259</c:v>
                </c:pt>
                <c:pt idx="2">
                  <c:v>0.19095368512060182</c:v>
                </c:pt>
                <c:pt idx="3">
                  <c:v>-3.3302306063196528E-2</c:v>
                </c:pt>
                <c:pt idx="4">
                  <c:v>0.76</c:v>
                </c:pt>
                <c:pt idx="5">
                  <c:v>0.76</c:v>
                </c:pt>
                <c:pt idx="6">
                  <c:v>0.29451624027613532</c:v>
                </c:pt>
                <c:pt idx="7">
                  <c:v>0.23294830778779776</c:v>
                </c:pt>
                <c:pt idx="8">
                  <c:v>0.27820831387146505</c:v>
                </c:pt>
                <c:pt idx="9">
                  <c:v>0.52575025250045815</c:v>
                </c:pt>
                <c:pt idx="10">
                  <c:v>0.40806462381467962</c:v>
                </c:pt>
                <c:pt idx="11">
                  <c:v>0.47173462040918634</c:v>
                </c:pt>
                <c:pt idx="12">
                  <c:v>0.28484583168710542</c:v>
                </c:pt>
                <c:pt idx="13">
                  <c:v>0.22294349652989498</c:v>
                </c:pt>
                <c:pt idx="14">
                  <c:v>0.3845114590321328</c:v>
                </c:pt>
                <c:pt idx="15">
                  <c:v>0.56662222839179799</c:v>
                </c:pt>
              </c:numCache>
            </c:numRef>
          </c:val>
          <c:extLst>
            <c:ext xmlns:c16="http://schemas.microsoft.com/office/drawing/2014/chart" uri="{C3380CC4-5D6E-409C-BE32-E72D297353CC}">
              <c16:uniqueId val="{00000011-96FE-4533-988B-76C3EC7C51D6}"/>
            </c:ext>
          </c:extLst>
        </c:ser>
        <c:ser>
          <c:idx val="3"/>
          <c:order val="3"/>
          <c:tx>
            <c:v>Local firms (2015)</c:v>
          </c:tx>
          <c:spPr>
            <a:solidFill>
              <a:schemeClr val="accent3">
                <a:lumMod val="75000"/>
              </a:schemeClr>
            </a:solidFill>
            <a:ln>
              <a:noFill/>
            </a:ln>
          </c:spPr>
          <c:invertIfNegative val="0"/>
          <c:val>
            <c:numRef>
              <c:f>'DataF1-3'!$C$2:$C$17</c:f>
              <c:numCache>
                <c:formatCode>0%</c:formatCode>
                <c:ptCount val="16"/>
                <c:pt idx="0">
                  <c:v>0.47996308817683037</c:v>
                </c:pt>
                <c:pt idx="1">
                  <c:v>0.68416351867003244</c:v>
                </c:pt>
                <c:pt idx="2">
                  <c:v>0.40461450275815142</c:v>
                </c:pt>
                <c:pt idx="3">
                  <c:v>0.11438915202699569</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00-0CDE-4DC3-BF5D-27671982D1E4}"/>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DK"/>
          </a:p>
        </c:txPr>
        <c:crossAx val="-2139120696"/>
        <c:crosses val="autoZero"/>
        <c:auto val="1"/>
        <c:lblAlgn val="ctr"/>
        <c:lblOffset val="100"/>
        <c:noMultiLvlLbl val="0"/>
      </c:catAx>
      <c:valAx>
        <c:axId val="-2139120696"/>
        <c:scaling>
          <c:orientation val="minMax"/>
          <c:max val="17"/>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2139123768"/>
        <c:crosses val="autoZero"/>
        <c:crossBetween val="between"/>
        <c:majorUnit val="2"/>
        <c:minorUnit val="0.2"/>
      </c:valAx>
    </c:plotArea>
    <c:legend>
      <c:legendPos val="r"/>
      <c:layout>
        <c:manualLayout>
          <c:xMode val="edge"/>
          <c:yMode val="edge"/>
          <c:x val="0.67896174863388004"/>
          <c:y val="0.446236780548875"/>
          <c:w val="0.22972905035480667"/>
          <c:h val="0.21836212072054886"/>
        </c:manualLayout>
      </c:layout>
      <c:overlay val="0"/>
      <c:txPr>
        <a:bodyPr/>
        <a:lstStyle/>
        <a:p>
          <a:pPr>
            <a:defRPr sz="1800"/>
          </a:pPr>
          <a:endParaRPr lang="en-DK"/>
        </a:p>
      </c:txPr>
    </c:legend>
    <c:plotVisOnly val="1"/>
    <c:dispBlanksAs val="gap"/>
    <c:showDLblsOverMax val="0"/>
  </c:chart>
  <c:spPr>
    <a:ln>
      <a:noFill/>
    </a:ln>
  </c:spPr>
  <c:txPr>
    <a:bodyPr/>
    <a:lstStyle/>
    <a:p>
      <a:pPr>
        <a:defRPr>
          <a:latin typeface="Garamond" panose="02020404030301010803" pitchFamily="18" charset="0"/>
        </a:defRPr>
      </a:pPr>
      <a:endParaRPr lang="en-DK"/>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baseline="0"/>
              <a:t>Corporate tax lost</a:t>
            </a:r>
          </a:p>
          <a:p>
            <a:pPr>
              <a:defRPr sz="2200" b="0"/>
            </a:pPr>
            <a:r>
              <a:rPr lang="en-US" sz="2200" b="0" baseline="0"/>
              <a:t>(% of current tax revenue)</a:t>
            </a:r>
            <a:endParaRPr lang="en-US" sz="2200" b="0"/>
          </a:p>
        </c:rich>
      </c:tx>
      <c:layout>
        <c:manualLayout>
          <c:xMode val="edge"/>
          <c:yMode val="edge"/>
          <c:x val="0.37520270572348424"/>
          <c:y val="6.250524241503909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2"/>
          <c:order val="0"/>
          <c:tx>
            <c:v>2019 (Avg.= 10%)</c:v>
          </c:tx>
          <c:spPr>
            <a:solidFill>
              <a:srgbClr val="FF0000"/>
            </a:solidFill>
          </c:spPr>
          <c:invertIfNegative val="0"/>
          <c:cat>
            <c:strRef>
              <c:f>DataF2!$H$4:$H$23</c:f>
              <c:strCache>
                <c:ptCount val="20"/>
                <c:pt idx="0">
                  <c:v>United Kingdom</c:v>
                </c:pt>
                <c:pt idx="1">
                  <c:v>Germany</c:v>
                </c:pt>
                <c:pt idx="2">
                  <c:v>France</c:v>
                </c:pt>
                <c:pt idx="3">
                  <c:v>Spain</c:v>
                </c:pt>
                <c:pt idx="4">
                  <c:v>Italy</c:v>
                </c:pt>
                <c:pt idx="5">
                  <c:v>Brazil</c:v>
                </c:pt>
                <c:pt idx="6">
                  <c:v>United States</c:v>
                </c:pt>
                <c:pt idx="7">
                  <c:v>Mexico</c:v>
                </c:pt>
                <c:pt idx="8">
                  <c:v>Australia</c:v>
                </c:pt>
                <c:pt idx="9">
                  <c:v>South Africa</c:v>
                </c:pt>
                <c:pt idx="10">
                  <c:v>Greece</c:v>
                </c:pt>
                <c:pt idx="11">
                  <c:v>Denmark</c:v>
                </c:pt>
                <c:pt idx="12">
                  <c:v>Portugal</c:v>
                </c:pt>
                <c:pt idx="13">
                  <c:v>Canada</c:v>
                </c:pt>
                <c:pt idx="14">
                  <c:v>Turkey</c:v>
                </c:pt>
                <c:pt idx="15">
                  <c:v>India</c:v>
                </c:pt>
                <c:pt idx="16">
                  <c:v>Russia</c:v>
                </c:pt>
                <c:pt idx="17">
                  <c:v>China</c:v>
                </c:pt>
                <c:pt idx="18">
                  <c:v>Korea</c:v>
                </c:pt>
                <c:pt idx="19">
                  <c:v>Japan</c:v>
                </c:pt>
              </c:strCache>
            </c:strRef>
          </c:cat>
          <c:val>
            <c:numRef>
              <c:f>DataF2!$J$4:$J$23</c:f>
              <c:numCache>
                <c:formatCode>0%</c:formatCode>
                <c:ptCount val="20"/>
                <c:pt idx="0">
                  <c:v>0.3199088142842143</c:v>
                </c:pt>
                <c:pt idx="1">
                  <c:v>0.29157703980486771</c:v>
                </c:pt>
                <c:pt idx="2">
                  <c:v>0.2176535483408765</c:v>
                </c:pt>
                <c:pt idx="3">
                  <c:v>0.18310080120891367</c:v>
                </c:pt>
                <c:pt idx="4">
                  <c:v>0.17588559138604407</c:v>
                </c:pt>
                <c:pt idx="5">
                  <c:v>0.17331989683981694</c:v>
                </c:pt>
                <c:pt idx="6">
                  <c:v>0.15559404460761039</c:v>
                </c:pt>
                <c:pt idx="7">
                  <c:v>0.1464226475009392</c:v>
                </c:pt>
                <c:pt idx="8">
                  <c:v>0.13796919947353922</c:v>
                </c:pt>
                <c:pt idx="9">
                  <c:v>0.13153414178601369</c:v>
                </c:pt>
                <c:pt idx="10">
                  <c:v>0.11807154008664292</c:v>
                </c:pt>
                <c:pt idx="11">
                  <c:v>0.11281496316698668</c:v>
                </c:pt>
                <c:pt idx="12">
                  <c:v>9.71410865476839E-2</c:v>
                </c:pt>
                <c:pt idx="13">
                  <c:v>9.4387945382259628E-2</c:v>
                </c:pt>
                <c:pt idx="14">
                  <c:v>7.7407451704525204E-2</c:v>
                </c:pt>
                <c:pt idx="15">
                  <c:v>6.2927193684744365E-2</c:v>
                </c:pt>
                <c:pt idx="16">
                  <c:v>5.7428604691060495E-2</c:v>
                </c:pt>
                <c:pt idx="17">
                  <c:v>4.3097816811950553E-2</c:v>
                </c:pt>
                <c:pt idx="18">
                  <c:v>3.1254384853862678E-2</c:v>
                </c:pt>
                <c:pt idx="19">
                  <c:v>2.7939462578061635E-2</c:v>
                </c:pt>
              </c:numCache>
            </c:numRef>
          </c:val>
          <c:extLst>
            <c:ext xmlns:c16="http://schemas.microsoft.com/office/drawing/2014/chart" uri="{C3380CC4-5D6E-409C-BE32-E72D297353CC}">
              <c16:uniqueId val="{00000001-0AEA-4FC9-BD4D-CEA3E9E6A8E1}"/>
            </c:ext>
          </c:extLst>
        </c:ser>
        <c:ser>
          <c:idx val="0"/>
          <c:order val="1"/>
          <c:tx>
            <c:v>2015 (Avg.= 9%)</c:v>
          </c:tx>
          <c:spPr>
            <a:solidFill>
              <a:schemeClr val="tx1"/>
            </a:solidFill>
          </c:spPr>
          <c:invertIfNegative val="0"/>
          <c:cat>
            <c:strRef>
              <c:f>DataF2!$H$4:$H$23</c:f>
              <c:strCache>
                <c:ptCount val="20"/>
                <c:pt idx="0">
                  <c:v>United Kingdom</c:v>
                </c:pt>
                <c:pt idx="1">
                  <c:v>Germany</c:v>
                </c:pt>
                <c:pt idx="2">
                  <c:v>France</c:v>
                </c:pt>
                <c:pt idx="3">
                  <c:v>Spain</c:v>
                </c:pt>
                <c:pt idx="4">
                  <c:v>Italy</c:v>
                </c:pt>
                <c:pt idx="5">
                  <c:v>Brazil</c:v>
                </c:pt>
                <c:pt idx="6">
                  <c:v>United States</c:v>
                </c:pt>
                <c:pt idx="7">
                  <c:v>Mexico</c:v>
                </c:pt>
                <c:pt idx="8">
                  <c:v>Australia</c:v>
                </c:pt>
                <c:pt idx="9">
                  <c:v>South Africa</c:v>
                </c:pt>
                <c:pt idx="10">
                  <c:v>Greece</c:v>
                </c:pt>
                <c:pt idx="11">
                  <c:v>Denmark</c:v>
                </c:pt>
                <c:pt idx="12">
                  <c:v>Portugal</c:v>
                </c:pt>
                <c:pt idx="13">
                  <c:v>Canada</c:v>
                </c:pt>
                <c:pt idx="14">
                  <c:v>Turkey</c:v>
                </c:pt>
                <c:pt idx="15">
                  <c:v>India</c:v>
                </c:pt>
                <c:pt idx="16">
                  <c:v>Russia</c:v>
                </c:pt>
                <c:pt idx="17">
                  <c:v>China</c:v>
                </c:pt>
                <c:pt idx="18">
                  <c:v>Korea</c:v>
                </c:pt>
                <c:pt idx="19">
                  <c:v>Japan</c:v>
                </c:pt>
              </c:strCache>
            </c:strRef>
          </c:cat>
          <c:val>
            <c:numRef>
              <c:f>DataF2!$I$4:$I$23</c:f>
              <c:numCache>
                <c:formatCode>0%</c:formatCode>
                <c:ptCount val="20"/>
                <c:pt idx="0">
                  <c:v>0.17522636389555327</c:v>
                </c:pt>
                <c:pt idx="1">
                  <c:v>0.27915742108293917</c:v>
                </c:pt>
                <c:pt idx="2">
                  <c:v>0.20997354799632112</c:v>
                </c:pt>
                <c:pt idx="3">
                  <c:v>0.14169133044555379</c:v>
                </c:pt>
                <c:pt idx="4">
                  <c:v>0.19117642800501949</c:v>
                </c:pt>
                <c:pt idx="5">
                  <c:v>8.4122127915958592E-2</c:v>
                </c:pt>
                <c:pt idx="6">
                  <c:v>0.14029437788441623</c:v>
                </c:pt>
                <c:pt idx="7">
                  <c:v>9.722953735639249E-2</c:v>
                </c:pt>
                <c:pt idx="8">
                  <c:v>6.7825450297755593E-2</c:v>
                </c:pt>
                <c:pt idx="9">
                  <c:v>5.7036451351329766E-2</c:v>
                </c:pt>
                <c:pt idx="10">
                  <c:v>7.2009177498450469E-2</c:v>
                </c:pt>
                <c:pt idx="11">
                  <c:v>8.4308238779602376E-2</c:v>
                </c:pt>
                <c:pt idx="12">
                  <c:v>8.8984298209723964E-2</c:v>
                </c:pt>
                <c:pt idx="13">
                  <c:v>9.2280382186396753E-2</c:v>
                </c:pt>
                <c:pt idx="14">
                  <c:v>7.5143595197188717E-2</c:v>
                </c:pt>
                <c:pt idx="15">
                  <c:v>8.1017937685124219E-2</c:v>
                </c:pt>
                <c:pt idx="16">
                  <c:v>5.404894525547628E-2</c:v>
                </c:pt>
                <c:pt idx="17">
                  <c:v>3.23734212127871E-2</c:v>
                </c:pt>
                <c:pt idx="18">
                  <c:v>2.3559034749706397E-2</c:v>
                </c:pt>
                <c:pt idx="19">
                  <c:v>0.02</c:v>
                </c:pt>
              </c:numCache>
            </c:numRef>
          </c:val>
          <c:extLst>
            <c:ext xmlns:c16="http://schemas.microsoft.com/office/drawing/2014/chart" uri="{C3380CC4-5D6E-409C-BE32-E72D297353CC}">
              <c16:uniqueId val="{00000000-0AEA-4FC9-BD4D-CEA3E9E6A8E1}"/>
            </c:ext>
          </c:extLst>
        </c:ser>
        <c:dLbls>
          <c:showLegendKey val="0"/>
          <c:showVal val="0"/>
          <c:showCatName val="0"/>
          <c:showSerName val="0"/>
          <c:showPercent val="0"/>
          <c:showBubbleSize val="0"/>
        </c:dLbls>
        <c:gapWidth val="150"/>
        <c:axId val="-2139123768"/>
        <c:axId val="-2139120696"/>
      </c:barChart>
      <c:lineChart>
        <c:grouping val="standard"/>
        <c:varyColors val="0"/>
        <c:ser>
          <c:idx val="1"/>
          <c:order val="2"/>
          <c:spPr>
            <a:ln w="28575">
              <a:solidFill>
                <a:srgbClr val="FF0000"/>
              </a:solidFill>
            </a:ln>
          </c:spPr>
          <c:marker>
            <c:symbol val="none"/>
          </c:marker>
          <c:val>
            <c:numRef>
              <c:f>DataF2!$L$4:$L$23</c:f>
              <c:numCache>
                <c:formatCode>0%</c:formatCode>
                <c:ptCount val="2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numCache>
            </c:numRef>
          </c:val>
          <c:smooth val="0"/>
          <c:extLst>
            <c:ext xmlns:c16="http://schemas.microsoft.com/office/drawing/2014/chart" uri="{C3380CC4-5D6E-409C-BE32-E72D297353CC}">
              <c16:uniqueId val="{00000002-0AEA-4FC9-BD4D-CEA3E9E6A8E1}"/>
            </c:ext>
          </c:extLst>
        </c:ser>
        <c:ser>
          <c:idx val="3"/>
          <c:order val="3"/>
          <c:spPr>
            <a:ln>
              <a:solidFill>
                <a:schemeClr val="tx1"/>
              </a:solidFill>
            </a:ln>
          </c:spPr>
          <c:marker>
            <c:symbol val="none"/>
          </c:marker>
          <c:val>
            <c:numRef>
              <c:f>DataF2!$M$4:$M$23</c:f>
              <c:numCache>
                <c:formatCode>0%</c:formatCode>
                <c:ptCount val="20"/>
                <c:pt idx="0">
                  <c:v>0.09</c:v>
                </c:pt>
                <c:pt idx="1">
                  <c:v>0.09</c:v>
                </c:pt>
                <c:pt idx="2">
                  <c:v>0.09</c:v>
                </c:pt>
                <c:pt idx="3">
                  <c:v>0.09</c:v>
                </c:pt>
                <c:pt idx="4">
                  <c:v>0.09</c:v>
                </c:pt>
                <c:pt idx="5">
                  <c:v>0.09</c:v>
                </c:pt>
                <c:pt idx="6">
                  <c:v>0.09</c:v>
                </c:pt>
                <c:pt idx="7">
                  <c:v>0.09</c:v>
                </c:pt>
                <c:pt idx="8">
                  <c:v>0.09</c:v>
                </c:pt>
                <c:pt idx="9">
                  <c:v>0.09</c:v>
                </c:pt>
                <c:pt idx="10">
                  <c:v>0.09</c:v>
                </c:pt>
                <c:pt idx="11">
                  <c:v>0.09</c:v>
                </c:pt>
                <c:pt idx="12">
                  <c:v>0.09</c:v>
                </c:pt>
                <c:pt idx="13">
                  <c:v>0.09</c:v>
                </c:pt>
                <c:pt idx="14">
                  <c:v>0.09</c:v>
                </c:pt>
                <c:pt idx="15">
                  <c:v>0.09</c:v>
                </c:pt>
                <c:pt idx="16">
                  <c:v>0.09</c:v>
                </c:pt>
                <c:pt idx="17">
                  <c:v>0.09</c:v>
                </c:pt>
                <c:pt idx="18">
                  <c:v>0.09</c:v>
                </c:pt>
                <c:pt idx="19">
                  <c:v>0.09</c:v>
                </c:pt>
              </c:numCache>
            </c:numRef>
          </c:val>
          <c:smooth val="0"/>
          <c:extLst>
            <c:ext xmlns:c16="http://schemas.microsoft.com/office/drawing/2014/chart" uri="{C3380CC4-5D6E-409C-BE32-E72D297353CC}">
              <c16:uniqueId val="{00000000-B3E3-46D3-BB5F-8834534AA6AC}"/>
            </c:ext>
          </c:extLst>
        </c:ser>
        <c:dLbls>
          <c:showLegendKey val="0"/>
          <c:showVal val="0"/>
          <c:showCatName val="0"/>
          <c:showSerName val="0"/>
          <c:showPercent val="0"/>
          <c:showBubbleSize val="0"/>
        </c:dLbls>
        <c:marker val="1"/>
        <c:smooth val="0"/>
        <c:axId val="-2139123768"/>
        <c:axId val="-2139120696"/>
      </c:line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DK"/>
          </a:p>
        </c:txPr>
        <c:crossAx val="-2139120696"/>
        <c:crosses val="autoZero"/>
        <c:auto val="1"/>
        <c:lblAlgn val="ctr"/>
        <c:lblOffset val="100"/>
        <c:noMultiLvlLbl val="0"/>
      </c:catAx>
      <c:valAx>
        <c:axId val="-2139120696"/>
        <c:scaling>
          <c:orientation val="minMax"/>
          <c:max val="0.35000000000000003"/>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2139123768"/>
        <c:crosses val="autoZero"/>
        <c:crossBetween val="between"/>
        <c:majorUnit val="5.000000000000001E-2"/>
      </c:valAx>
    </c:plotArea>
    <c:legend>
      <c:legendPos val="r"/>
      <c:legendEntry>
        <c:idx val="2"/>
        <c:delete val="1"/>
      </c:legendEntry>
      <c:legendEntry>
        <c:idx val="3"/>
        <c:delete val="1"/>
      </c:legendEntry>
      <c:layout>
        <c:manualLayout>
          <c:xMode val="edge"/>
          <c:yMode val="edge"/>
          <c:x val="0.41353885168345539"/>
          <c:y val="0.24532360099408546"/>
          <c:w val="0.25497321543823415"/>
          <c:h val="0.12762527592000791"/>
        </c:manualLayout>
      </c:layout>
      <c:overlay val="0"/>
      <c:txPr>
        <a:bodyPr/>
        <a:lstStyle/>
        <a:p>
          <a:pPr>
            <a:defRPr sz="2200"/>
          </a:pPr>
          <a:endParaRPr lang="en-DK"/>
        </a:p>
      </c:txPr>
    </c:legend>
    <c:plotVisOnly val="1"/>
    <c:dispBlanksAs val="gap"/>
    <c:showDLblsOverMax val="0"/>
  </c:chart>
  <c:spPr>
    <a:ln>
      <a:noFill/>
    </a:ln>
  </c:spPr>
  <c:txPr>
    <a:bodyPr/>
    <a:lstStyle/>
    <a:p>
      <a:pPr>
        <a:defRPr>
          <a:latin typeface="Garamond" panose="02020404030301010803" pitchFamily="18" charset="0"/>
        </a:defRPr>
      </a:pPr>
      <a:endParaRPr lang="en-DK"/>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GB" sz="2000"/>
              <a:t>Corp. profits (%</a:t>
            </a:r>
            <a:r>
              <a:rPr lang="en-GB" sz="2000" baseline="0"/>
              <a:t> of inc.)</a:t>
            </a:r>
            <a:r>
              <a:rPr lang="en-GB" sz="2000"/>
              <a:t> and multinational profits (% of all profits)</a:t>
            </a:r>
          </a:p>
        </c:rich>
      </c:tx>
      <c:layout>
        <c:manualLayout>
          <c:xMode val="edge"/>
          <c:yMode val="edge"/>
          <c:x val="0.11522786249011666"/>
          <c:y val="2.7216747184937714E-2"/>
        </c:manualLayout>
      </c:layout>
      <c:overlay val="0"/>
    </c:title>
    <c:autoTitleDeleted val="0"/>
    <c:plotArea>
      <c:layout>
        <c:manualLayout>
          <c:layoutTarget val="inner"/>
          <c:xMode val="edge"/>
          <c:yMode val="edge"/>
          <c:x val="8.2658661856377394E-2"/>
          <c:y val="0.102088855081104"/>
          <c:w val="0.87977913816798403"/>
          <c:h val="0.774688462855186"/>
        </c:manualLayout>
      </c:layout>
      <c:lineChart>
        <c:grouping val="standard"/>
        <c:varyColors val="0"/>
        <c:ser>
          <c:idx val="0"/>
          <c:order val="0"/>
          <c:tx>
            <c:strRef>
              <c:f>'Data F3'!$D$4</c:f>
              <c:strCache>
                <c:ptCount val="1"/>
                <c:pt idx="0">
                  <c:v>Share of foreign profits in corp. profits</c:v>
                </c:pt>
              </c:strCache>
            </c:strRef>
          </c:tx>
          <c:spPr>
            <a:ln w="19050">
              <a:solidFill>
                <a:schemeClr val="tx1"/>
              </a:solidFill>
            </a:ln>
          </c:spPr>
          <c:marker>
            <c:symbol val="none"/>
          </c:marker>
          <c:cat>
            <c:numRef>
              <c:f>'Data F3'!$C$19:$C$63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F3'!$D$19:$D$63</c:f>
              <c:numCache>
                <c:formatCode>General</c:formatCode>
                <c:ptCount val="45"/>
                <c:pt idx="0">
                  <c:v>3.9517671230914431E-2</c:v>
                </c:pt>
                <c:pt idx="1">
                  <c:v>4.2340463869978785E-2</c:v>
                </c:pt>
                <c:pt idx="2">
                  <c:v>3.8154969011600294E-2</c:v>
                </c:pt>
                <c:pt idx="3">
                  <c:v>4.0643851190286316E-2</c:v>
                </c:pt>
                <c:pt idx="4">
                  <c:v>5.8991265673917902E-2</c:v>
                </c:pt>
                <c:pt idx="5">
                  <c:v>5.1606651452144603E-2</c:v>
                </c:pt>
                <c:pt idx="6">
                  <c:v>4.2229755996350538E-2</c:v>
                </c:pt>
                <c:pt idx="7">
                  <c:v>3.4810544743711716E-2</c:v>
                </c:pt>
                <c:pt idx="8">
                  <c:v>3.5934372019683518E-2</c:v>
                </c:pt>
                <c:pt idx="9">
                  <c:v>3.9915905352398924E-2</c:v>
                </c:pt>
                <c:pt idx="10">
                  <c:v>3.5856246989057969E-2</c:v>
                </c:pt>
                <c:pt idx="11">
                  <c:v>3.8408050494766366E-2</c:v>
                </c:pt>
                <c:pt idx="12">
                  <c:v>4.2975607423649996E-2</c:v>
                </c:pt>
                <c:pt idx="13">
                  <c:v>4.9200289610311462E-2</c:v>
                </c:pt>
                <c:pt idx="14">
                  <c:v>4.9235003396108125E-2</c:v>
                </c:pt>
                <c:pt idx="15">
                  <c:v>4.5864666584124032E-2</c:v>
                </c:pt>
                <c:pt idx="16">
                  <c:v>3.9175082863018414E-2</c:v>
                </c:pt>
                <c:pt idx="17">
                  <c:v>3.7604896736494295E-2</c:v>
                </c:pt>
                <c:pt idx="18">
                  <c:v>4.2923648522569538E-2</c:v>
                </c:pt>
                <c:pt idx="19">
                  <c:v>4.9021772096243324E-2</c:v>
                </c:pt>
                <c:pt idx="20">
                  <c:v>5.2284849767625673E-2</c:v>
                </c:pt>
                <c:pt idx="21">
                  <c:v>6.169362773939064E-2</c:v>
                </c:pt>
                <c:pt idx="22">
                  <c:v>6.5614923781717002E-2</c:v>
                </c:pt>
                <c:pt idx="23">
                  <c:v>6.545296520776768E-2</c:v>
                </c:pt>
                <c:pt idx="24">
                  <c:v>8.2441840940179603E-2</c:v>
                </c:pt>
                <c:pt idx="25">
                  <c:v>9.5347996860633624E-2</c:v>
                </c:pt>
                <c:pt idx="26">
                  <c:v>8.1004174605676341E-2</c:v>
                </c:pt>
                <c:pt idx="27">
                  <c:v>8.4976653688708048E-2</c:v>
                </c:pt>
                <c:pt idx="28">
                  <c:v>0.10365028500699139</c:v>
                </c:pt>
                <c:pt idx="29">
                  <c:v>0.13336791510510093</c:v>
                </c:pt>
                <c:pt idx="30">
                  <c:v>0.15906424406918185</c:v>
                </c:pt>
                <c:pt idx="31">
                  <c:v>0.16787251528349917</c:v>
                </c:pt>
                <c:pt idx="32">
                  <c:v>0.18110401031469744</c:v>
                </c:pt>
                <c:pt idx="33">
                  <c:v>0.14988601451008962</c:v>
                </c:pt>
                <c:pt idx="34">
                  <c:v>0.14898578184821715</c:v>
                </c:pt>
                <c:pt idx="35">
                  <c:v>0.17168841361525777</c:v>
                </c:pt>
                <c:pt idx="36">
                  <c:v>0.16912362182981472</c:v>
                </c:pt>
                <c:pt idx="37">
                  <c:v>0.15905782597509527</c:v>
                </c:pt>
                <c:pt idx="38">
                  <c:v>0.16055672901077334</c:v>
                </c:pt>
                <c:pt idx="39">
                  <c:v>0.16257022390757828</c:v>
                </c:pt>
                <c:pt idx="40">
                  <c:v>0.1479102583300671</c:v>
                </c:pt>
                <c:pt idx="41">
                  <c:v>0.15</c:v>
                </c:pt>
                <c:pt idx="42">
                  <c:v>0.15820000000000001</c:v>
                </c:pt>
                <c:pt idx="43">
                  <c:v>0.189</c:v>
                </c:pt>
                <c:pt idx="44">
                  <c:v>0.17799999999999999</c:v>
                </c:pt>
              </c:numCache>
            </c:numRef>
          </c:val>
          <c:smooth val="0"/>
          <c:extLst>
            <c:ext xmlns:c16="http://schemas.microsoft.com/office/drawing/2014/chart" uri="{C3380CC4-5D6E-409C-BE32-E72D297353CC}">
              <c16:uniqueId val="{00000000-032C-47AB-9B63-27F67993570D}"/>
            </c:ext>
          </c:extLst>
        </c:ser>
        <c:ser>
          <c:idx val="1"/>
          <c:order val="1"/>
          <c:tx>
            <c:strRef>
              <c:f>'Data F3'!$E$4</c:f>
              <c:strCache>
                <c:ptCount val="1"/>
                <c:pt idx="0">
                  <c:v>Share of corp. profits in national income</c:v>
                </c:pt>
              </c:strCache>
            </c:strRef>
          </c:tx>
          <c:spPr>
            <a:ln>
              <a:solidFill>
                <a:schemeClr val="accent1"/>
              </a:solidFill>
            </a:ln>
          </c:spPr>
          <c:marker>
            <c:symbol val="none"/>
          </c:marker>
          <c:cat>
            <c:numRef>
              <c:f>'Data F3'!$C$19:$C$63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F3'!$E$19:$E$63</c:f>
              <c:numCache>
                <c:formatCode>General</c:formatCode>
                <c:ptCount val="45"/>
                <c:pt idx="0">
                  <c:v>0.14470206791406698</c:v>
                </c:pt>
                <c:pt idx="1">
                  <c:v>0.14397126261561582</c:v>
                </c:pt>
                <c:pt idx="2">
                  <c:v>0.1445614018544939</c:v>
                </c:pt>
                <c:pt idx="3">
                  <c:v>0.14486121477397693</c:v>
                </c:pt>
                <c:pt idx="4">
                  <c:v>0.14190607606739974</c:v>
                </c:pt>
                <c:pt idx="5">
                  <c:v>0.13893632482514331</c:v>
                </c:pt>
                <c:pt idx="6">
                  <c:v>0.14441739244778107</c:v>
                </c:pt>
                <c:pt idx="7">
                  <c:v>0.14516043068528164</c:v>
                </c:pt>
                <c:pt idx="8">
                  <c:v>0.15067141437877599</c:v>
                </c:pt>
                <c:pt idx="9">
                  <c:v>0.15560705884144874</c:v>
                </c:pt>
                <c:pt idx="10">
                  <c:v>0.15787049636712966</c:v>
                </c:pt>
                <c:pt idx="11">
                  <c:v>0.15713913811353761</c:v>
                </c:pt>
                <c:pt idx="12">
                  <c:v>0.15835844691816678</c:v>
                </c:pt>
                <c:pt idx="13">
                  <c:v>0.16198837717118159</c:v>
                </c:pt>
                <c:pt idx="14">
                  <c:v>0.16321954049849099</c:v>
                </c:pt>
                <c:pt idx="15">
                  <c:v>0.15992041882154995</c:v>
                </c:pt>
                <c:pt idx="16">
                  <c:v>0.1564549147222811</c:v>
                </c:pt>
                <c:pt idx="17">
                  <c:v>0.15479722044315622</c:v>
                </c:pt>
                <c:pt idx="18">
                  <c:v>0.15601794526942436</c:v>
                </c:pt>
                <c:pt idx="19">
                  <c:v>0.16120024399049293</c:v>
                </c:pt>
                <c:pt idx="20">
                  <c:v>0.16350535103761582</c:v>
                </c:pt>
                <c:pt idx="21">
                  <c:v>0.16612537731554916</c:v>
                </c:pt>
                <c:pt idx="22">
                  <c:v>0.16905658686298317</c:v>
                </c:pt>
                <c:pt idx="23">
                  <c:v>0.16770399609041559</c:v>
                </c:pt>
                <c:pt idx="24">
                  <c:v>0.16603567419961138</c:v>
                </c:pt>
                <c:pt idx="25">
                  <c:v>0.16173886106400437</c:v>
                </c:pt>
                <c:pt idx="26">
                  <c:v>0.16097701760114649</c:v>
                </c:pt>
                <c:pt idx="27">
                  <c:v>0.16562429479480884</c:v>
                </c:pt>
                <c:pt idx="28">
                  <c:v>0.17028752212635573</c:v>
                </c:pt>
                <c:pt idx="29">
                  <c:v>0.17744971927147501</c:v>
                </c:pt>
                <c:pt idx="30">
                  <c:v>0.18059534068314209</c:v>
                </c:pt>
                <c:pt idx="31">
                  <c:v>0.18359636090393244</c:v>
                </c:pt>
                <c:pt idx="32">
                  <c:v>0.18348428437183417</c:v>
                </c:pt>
                <c:pt idx="33">
                  <c:v>0.18055457048188797</c:v>
                </c:pt>
                <c:pt idx="34">
                  <c:v>0.17855281871926884</c:v>
                </c:pt>
                <c:pt idx="35">
                  <c:v>0.18674684834289276</c:v>
                </c:pt>
                <c:pt idx="36">
                  <c:v>0.18506273739029191</c:v>
                </c:pt>
                <c:pt idx="37">
                  <c:v>0.18147799881404808</c:v>
                </c:pt>
                <c:pt idx="38">
                  <c:v>0.18181728523860391</c:v>
                </c:pt>
                <c:pt idx="39">
                  <c:v>0.18215657166315974</c:v>
                </c:pt>
                <c:pt idx="40">
                  <c:v>0.18464437358793825</c:v>
                </c:pt>
                <c:pt idx="41">
                  <c:v>0.19355958240831084</c:v>
                </c:pt>
                <c:pt idx="42">
                  <c:v>0.19258990801824963</c:v>
                </c:pt>
                <c:pt idx="43">
                  <c:v>0.19670500813489464</c:v>
                </c:pt>
                <c:pt idx="44">
                  <c:v>0.19996877996009457</c:v>
                </c:pt>
              </c:numCache>
            </c:numRef>
          </c:val>
          <c:smooth val="0"/>
          <c:extLst>
            <c:ext xmlns:c16="http://schemas.microsoft.com/office/drawing/2014/chart" uri="{C3380CC4-5D6E-409C-BE32-E72D297353CC}">
              <c16:uniqueId val="{00000001-032C-47AB-9B63-27F67993570D}"/>
            </c:ext>
          </c:extLst>
        </c:ser>
        <c:dLbls>
          <c:showLegendKey val="0"/>
          <c:showVal val="0"/>
          <c:showCatName val="0"/>
          <c:showSerName val="0"/>
          <c:showPercent val="0"/>
          <c:showBubbleSize val="0"/>
        </c:dLbls>
        <c:smooth val="0"/>
        <c:axId val="1839106456"/>
        <c:axId val="1839111368"/>
        <c:extLst/>
      </c:lineChart>
      <c:catAx>
        <c:axId val="1839106456"/>
        <c:scaling>
          <c:orientation val="minMax"/>
        </c:scaling>
        <c:delete val="0"/>
        <c:axPos val="b"/>
        <c:numFmt formatCode="General" sourceLinked="0"/>
        <c:majorTickMark val="none"/>
        <c:minorTickMark val="none"/>
        <c:tickLblPos val="nextTo"/>
        <c:txPr>
          <a:bodyPr/>
          <a:lstStyle/>
          <a:p>
            <a:pPr>
              <a:defRPr sz="1800"/>
            </a:pPr>
            <a:endParaRPr lang="en-DK"/>
          </a:p>
        </c:txPr>
        <c:crossAx val="1839111368"/>
        <c:crosses val="autoZero"/>
        <c:auto val="1"/>
        <c:lblAlgn val="ctr"/>
        <c:lblOffset val="100"/>
        <c:tickLblSkip val="2"/>
        <c:noMultiLvlLbl val="0"/>
      </c:catAx>
      <c:valAx>
        <c:axId val="1839111368"/>
        <c:scaling>
          <c:orientation val="minMax"/>
          <c:max val="0.2"/>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1839106456"/>
        <c:crosses val="autoZero"/>
        <c:crossBetween val="between"/>
        <c:majorUnit val="4.0000000000000008E-2"/>
      </c:valAx>
      <c:spPr>
        <a:noFill/>
        <a:ln>
          <a:noFill/>
        </a:ln>
      </c:spPr>
    </c:plotArea>
    <c:plotVisOnly val="1"/>
    <c:dispBlanksAs val="gap"/>
    <c:showDLblsOverMax val="0"/>
  </c:chart>
  <c:spPr>
    <a:noFill/>
    <a:ln>
      <a:noFill/>
    </a:ln>
  </c:spPr>
  <c:txPr>
    <a:bodyPr/>
    <a:lstStyle/>
    <a:p>
      <a:pPr>
        <a:defRPr>
          <a:latin typeface="Garamond" panose="02020404030301010803" pitchFamily="18" charset="0"/>
        </a:defRPr>
      </a:pPr>
      <a:endParaRPr lang="en-DK"/>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200"/>
              <a:t>Multinational profits in tax havens and corporate tax lost</a:t>
            </a:r>
          </a:p>
        </c:rich>
      </c:tx>
      <c:layout>
        <c:manualLayout>
          <c:xMode val="edge"/>
          <c:yMode val="edge"/>
          <c:x val="0.1490969086488364"/>
          <c:y val="1.6710192581153218E-2"/>
        </c:manualLayout>
      </c:layout>
      <c:overlay val="0"/>
    </c:title>
    <c:autoTitleDeleted val="0"/>
    <c:plotArea>
      <c:layout>
        <c:manualLayout>
          <c:layoutTarget val="inner"/>
          <c:xMode val="edge"/>
          <c:yMode val="edge"/>
          <c:x val="0.11682264812966432"/>
          <c:y val="0.102088855081104"/>
          <c:w val="0.78002029824998609"/>
          <c:h val="0.774688462855186"/>
        </c:manualLayout>
      </c:layout>
      <c:lineChart>
        <c:grouping val="standard"/>
        <c:varyColors val="0"/>
        <c:ser>
          <c:idx val="0"/>
          <c:order val="0"/>
          <c:tx>
            <c:v>% of foreign profits in havens</c:v>
          </c:tx>
          <c:marker>
            <c:symbol val="none"/>
          </c:marker>
          <c:cat>
            <c:numRef>
              <c:f>'Data F4'!$A$37:$A$81</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F4'!$U$37:$U$81</c:f>
              <c:numCache>
                <c:formatCode>0%</c:formatCode>
                <c:ptCount val="45"/>
                <c:pt idx="0">
                  <c:v>3.2815558404711254E-4</c:v>
                </c:pt>
                <c:pt idx="1">
                  <c:v>-1.2306124552415318E-3</c:v>
                </c:pt>
                <c:pt idx="2">
                  <c:v>-3.4522447174006746E-3</c:v>
                </c:pt>
                <c:pt idx="3">
                  <c:v>1.7043642620715059E-3</c:v>
                </c:pt>
                <c:pt idx="4">
                  <c:v>9.4807462712462442E-3</c:v>
                </c:pt>
                <c:pt idx="5">
                  <c:v>2.4318308581808661E-2</c:v>
                </c:pt>
                <c:pt idx="6">
                  <c:v>3.4316638283899338E-2</c:v>
                </c:pt>
                <c:pt idx="7">
                  <c:v>5.330235814211657E-2</c:v>
                </c:pt>
                <c:pt idx="8">
                  <c:v>6.1493045130559199E-2</c:v>
                </c:pt>
                <c:pt idx="9">
                  <c:v>5.5087995258237259E-2</c:v>
                </c:pt>
                <c:pt idx="10">
                  <c:v>6.0996324767759867E-2</c:v>
                </c:pt>
                <c:pt idx="11">
                  <c:v>6.8294592122910849E-2</c:v>
                </c:pt>
                <c:pt idx="12">
                  <c:v>9.807760942603963E-2</c:v>
                </c:pt>
                <c:pt idx="13">
                  <c:v>7.2249630171488763E-2</c:v>
                </c:pt>
                <c:pt idx="14">
                  <c:v>8.1026651710973632E-2</c:v>
                </c:pt>
                <c:pt idx="15">
                  <c:v>0.1173288963214047</c:v>
                </c:pt>
                <c:pt idx="16">
                  <c:v>0.1295263754497612</c:v>
                </c:pt>
                <c:pt idx="17">
                  <c:v>0.11585119496516041</c:v>
                </c:pt>
                <c:pt idx="18">
                  <c:v>0.10855273113131789</c:v>
                </c:pt>
                <c:pt idx="19">
                  <c:v>0.1144897115620159</c:v>
                </c:pt>
                <c:pt idx="20">
                  <c:v>0.12760755697157922</c:v>
                </c:pt>
                <c:pt idx="21">
                  <c:v>0.12202422450602622</c:v>
                </c:pt>
                <c:pt idx="22">
                  <c:v>0.15380882217779418</c:v>
                </c:pt>
                <c:pt idx="23">
                  <c:v>0.1953236844772902</c:v>
                </c:pt>
                <c:pt idx="24">
                  <c:v>0.17277606227980169</c:v>
                </c:pt>
                <c:pt idx="25">
                  <c:v>0.16037075033180187</c:v>
                </c:pt>
                <c:pt idx="26">
                  <c:v>0.18937351307636915</c:v>
                </c:pt>
                <c:pt idx="27">
                  <c:v>0.20861103617717636</c:v>
                </c:pt>
                <c:pt idx="28">
                  <c:v>0.19232176523117281</c:v>
                </c:pt>
                <c:pt idx="29">
                  <c:v>0.21089227733949423</c:v>
                </c:pt>
                <c:pt idx="30">
                  <c:v>0.17197311249575917</c:v>
                </c:pt>
                <c:pt idx="31">
                  <c:v>0.19084089023668974</c:v>
                </c:pt>
                <c:pt idx="32">
                  <c:v>0.19923425606522768</c:v>
                </c:pt>
                <c:pt idx="33">
                  <c:v>0.16207544120397871</c:v>
                </c:pt>
                <c:pt idx="34">
                  <c:v>0.23242054766724693</c:v>
                </c:pt>
                <c:pt idx="35">
                  <c:v>0.19459463800712956</c:v>
                </c:pt>
                <c:pt idx="36">
                  <c:v>0.20550983473703949</c:v>
                </c:pt>
                <c:pt idx="37">
                  <c:v>0.23222327141630777</c:v>
                </c:pt>
                <c:pt idx="38">
                  <c:v>0.22756084151551642</c:v>
                </c:pt>
                <c:pt idx="39">
                  <c:v>0.26658904429260477</c:v>
                </c:pt>
                <c:pt idx="40">
                  <c:v>0.3619370081190203</c:v>
                </c:pt>
                <c:pt idx="41">
                  <c:v>0.36224558978351656</c:v>
                </c:pt>
                <c:pt idx="42">
                  <c:v>0.35975842449750389</c:v>
                </c:pt>
                <c:pt idx="43">
                  <c:v>0.35639008352064244</c:v>
                </c:pt>
                <c:pt idx="44">
                  <c:v>0.37420932775225652</c:v>
                </c:pt>
              </c:numCache>
            </c:numRef>
          </c:val>
          <c:smooth val="0"/>
          <c:extLst>
            <c:ext xmlns:c16="http://schemas.microsoft.com/office/drawing/2014/chart" uri="{C3380CC4-5D6E-409C-BE32-E72D297353CC}">
              <c16:uniqueId val="{00000000-192F-4D90-BF6C-8406153441A5}"/>
            </c:ext>
          </c:extLst>
        </c:ser>
        <c:dLbls>
          <c:showLegendKey val="0"/>
          <c:showVal val="0"/>
          <c:showCatName val="0"/>
          <c:showSerName val="0"/>
          <c:showPercent val="0"/>
          <c:showBubbleSize val="0"/>
        </c:dLbls>
        <c:marker val="1"/>
        <c:smooth val="0"/>
        <c:axId val="1839106456"/>
        <c:axId val="1839111368"/>
        <c:extLst>
          <c:ext xmlns:c15="http://schemas.microsoft.com/office/drawing/2012/chart" uri="{02D57815-91ED-43cb-92C2-25804820EDAC}">
            <c15:filteredLineSeries>
              <c15:ser>
                <c:idx val="1"/>
                <c:order val="1"/>
                <c:tx>
                  <c:strRef>
                    <c:extLst>
                      <c:ext uri="{02D57815-91ED-43cb-92C2-25804820EDAC}">
                        <c15:formulaRef>
                          <c15:sqref>'Data F4'!$C$5:$C$8</c15:sqref>
                        </c15:formulaRef>
                      </c:ext>
                    </c:extLst>
                    <c:strCache>
                      <c:ptCount val="4"/>
                      <c:pt idx="0">
                        <c:v>[2]</c:v>
                      </c:pt>
                      <c:pt idx="3">
                        <c:v>Ireland</c:v>
                      </c:pt>
                    </c:strCache>
                  </c:strRef>
                </c:tx>
                <c:marker>
                  <c:symbol val="none"/>
                </c:marker>
                <c:cat>
                  <c:numRef>
                    <c:extLst>
                      <c:ext uri="{02D57815-91ED-43cb-92C2-25804820EDAC}">
                        <c15:formulaRef>
                          <c15:sqref>'Data F4'!$A$37:$A$81</c15:sqref>
                        </c15:formulaRef>
                      </c:ext>
                    </c:extLst>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extLst>
                      <c:ext uri="{02D57815-91ED-43cb-92C2-25804820EDAC}">
                        <c15:formulaRef>
                          <c15:sqref>'Data F4'!$C$9:$C$14</c15:sqref>
                        </c15:formulaRef>
                      </c:ext>
                    </c:extLst>
                    <c:numCache>
                      <c:formatCode>General</c:formatCode>
                      <c:ptCount val="1"/>
                    </c:numCache>
                  </c:numRef>
                </c:val>
                <c:smooth val="0"/>
                <c:extLst>
                  <c:ext xmlns:c16="http://schemas.microsoft.com/office/drawing/2014/chart" uri="{C3380CC4-5D6E-409C-BE32-E72D297353CC}">
                    <c16:uniqueId val="{00000002-192F-4D90-BF6C-8406153441A5}"/>
                  </c:ext>
                </c:extLst>
              </c15:ser>
            </c15:filteredLineSeries>
            <c15:filteredLineSeries>
              <c15:ser>
                <c:idx val="2"/>
                <c:order val="2"/>
                <c:tx>
                  <c:strRef>
                    <c:extLst>
                      <c:ext xmlns:c15="http://schemas.microsoft.com/office/drawing/2012/chart" uri="{02D57815-91ED-43cb-92C2-25804820EDAC}">
                        <c15:formulaRef>
                          <c15:sqref>'Data F4'!$D$5:$D$8</c15:sqref>
                        </c15:formulaRef>
                      </c:ext>
                    </c:extLst>
                    <c:strCache>
                      <c:ptCount val="4"/>
                      <c:pt idx="0">
                        <c:v>[3]</c:v>
                      </c:pt>
                      <c:pt idx="3">
                        <c:v>Netherlands + Luxembourg</c:v>
                      </c:pt>
                    </c:strCache>
                  </c:strRef>
                </c:tx>
                <c:marker>
                  <c:symbol val="none"/>
                </c:marker>
                <c:cat>
                  <c:numRef>
                    <c:extLst>
                      <c:ext xmlns:c15="http://schemas.microsoft.com/office/drawing/2012/chart" uri="{02D57815-91ED-43cb-92C2-25804820EDAC}">
                        <c15:formulaRef>
                          <c15:sqref>'Data F4'!$A$37:$A$81</c15:sqref>
                        </c15:formulaRef>
                      </c:ext>
                    </c:extLst>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extLst>
                      <c:ext xmlns:c15="http://schemas.microsoft.com/office/drawing/2012/chart" uri="{02D57815-91ED-43cb-92C2-25804820EDAC}">
                        <c15:formulaRef>
                          <c15:sqref>'Data F4'!$D$9:$D$14</c15:sqref>
                        </c15:formulaRef>
                      </c:ext>
                    </c:extLst>
                    <c:numCache>
                      <c:formatCode>General</c:formatCode>
                      <c:ptCount val="1"/>
                    </c:numCache>
                  </c:numRef>
                </c:val>
                <c:smooth val="0"/>
                <c:extLst xmlns:c15="http://schemas.microsoft.com/office/drawing/2012/chart">
                  <c:ext xmlns:c16="http://schemas.microsoft.com/office/drawing/2014/chart" uri="{C3380CC4-5D6E-409C-BE32-E72D297353CC}">
                    <c16:uniqueId val="{00000003-192F-4D90-BF6C-8406153441A5}"/>
                  </c:ext>
                </c:extLst>
              </c15:ser>
            </c15:filteredLineSeries>
            <c15:filteredLineSeries>
              <c15:ser>
                <c:idx val="3"/>
                <c:order val="3"/>
                <c:tx>
                  <c:strRef>
                    <c:extLst>
                      <c:ext xmlns:c15="http://schemas.microsoft.com/office/drawing/2012/chart" uri="{02D57815-91ED-43cb-92C2-25804820EDAC}">
                        <c15:formulaRef>
                          <c15:sqref>'Data F4'!$E$5:$E$8</c15:sqref>
                        </c15:formulaRef>
                      </c:ext>
                    </c:extLst>
                    <c:strCache>
                      <c:ptCount val="4"/>
                      <c:pt idx="0">
                        <c:v>[4]</c:v>
                      </c:pt>
                      <c:pt idx="3">
                        <c:v>Switzerland</c:v>
                      </c:pt>
                    </c:strCache>
                  </c:strRef>
                </c:tx>
                <c:spPr>
                  <a:ln>
                    <a:solidFill>
                      <a:schemeClr val="tx1"/>
                    </a:solidFill>
                  </a:ln>
                </c:spPr>
                <c:marker>
                  <c:spPr>
                    <a:solidFill>
                      <a:schemeClr val="bg1"/>
                    </a:solidFill>
                    <a:ln w="19050">
                      <a:solidFill>
                        <a:schemeClr val="tx1"/>
                      </a:solidFill>
                    </a:ln>
                  </c:spPr>
                </c:marker>
                <c:cat>
                  <c:numRef>
                    <c:extLst>
                      <c:ext xmlns:c15="http://schemas.microsoft.com/office/drawing/2012/chart" uri="{02D57815-91ED-43cb-92C2-25804820EDAC}">
                        <c15:formulaRef>
                          <c15:sqref>'Data F4'!$A$37:$A$81</c15:sqref>
                        </c15:formulaRef>
                      </c:ext>
                    </c:extLst>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extLst>
                      <c:ext xmlns:c15="http://schemas.microsoft.com/office/drawing/2012/chart" uri="{02D57815-91ED-43cb-92C2-25804820EDAC}">
                        <c15:formulaRef>
                          <c15:sqref>'Data F4'!$E$9:$E$14</c15:sqref>
                        </c15:formulaRef>
                      </c:ext>
                    </c:extLst>
                    <c:numCache>
                      <c:formatCode>General</c:formatCode>
                      <c:ptCount val="1"/>
                    </c:numCache>
                  </c:numRef>
                </c:val>
                <c:smooth val="0"/>
                <c:extLst xmlns:c15="http://schemas.microsoft.com/office/drawing/2012/chart">
                  <c:ext xmlns:c16="http://schemas.microsoft.com/office/drawing/2014/chart" uri="{C3380CC4-5D6E-409C-BE32-E72D297353CC}">
                    <c16:uniqueId val="{00000004-192F-4D90-BF6C-8406153441A5}"/>
                  </c:ext>
                </c:extLst>
              </c15:ser>
            </c15:filteredLineSeries>
            <c15:filteredLineSeries>
              <c15:ser>
                <c:idx val="4"/>
                <c:order val="4"/>
                <c:tx>
                  <c:strRef>
                    <c:extLst>
                      <c:ext xmlns:c15="http://schemas.microsoft.com/office/drawing/2012/chart" uri="{02D57815-91ED-43cb-92C2-25804820EDAC}">
                        <c15:formulaRef>
                          <c15:sqref>'Data F4'!$F$5:$F$8</c15:sqref>
                        </c15:formulaRef>
                      </c:ext>
                    </c:extLst>
                    <c:strCache>
                      <c:ptCount val="4"/>
                      <c:pt idx="0">
                        <c:v>[5]</c:v>
                      </c:pt>
                      <c:pt idx="3">
                        <c:v>Bermuda and Carribbean havens</c:v>
                      </c:pt>
                    </c:strCache>
                  </c:strRef>
                </c:tx>
                <c:marker>
                  <c:symbol val="none"/>
                </c:marker>
                <c:cat>
                  <c:numRef>
                    <c:extLst>
                      <c:ext xmlns:c15="http://schemas.microsoft.com/office/drawing/2012/chart" uri="{02D57815-91ED-43cb-92C2-25804820EDAC}">
                        <c15:formulaRef>
                          <c15:sqref>'Data F4'!$A$37:$A$81</c15:sqref>
                        </c15:formulaRef>
                      </c:ext>
                    </c:extLst>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extLst>
                      <c:ext xmlns:c15="http://schemas.microsoft.com/office/drawing/2012/chart" uri="{02D57815-91ED-43cb-92C2-25804820EDAC}">
                        <c15:formulaRef>
                          <c15:sqref>'Data F4'!$F$9:$F$14</c15:sqref>
                        </c15:formulaRef>
                      </c:ext>
                    </c:extLst>
                    <c:numCache>
                      <c:formatCode>General</c:formatCode>
                      <c:ptCount val="1"/>
                    </c:numCache>
                  </c:numRef>
                </c:val>
                <c:smooth val="0"/>
                <c:extLst xmlns:c15="http://schemas.microsoft.com/office/drawing/2012/chart">
                  <c:ext xmlns:c16="http://schemas.microsoft.com/office/drawing/2014/chart" uri="{C3380CC4-5D6E-409C-BE32-E72D297353CC}">
                    <c16:uniqueId val="{00000005-192F-4D90-BF6C-8406153441A5}"/>
                  </c:ext>
                </c:extLst>
              </c15:ser>
            </c15:filteredLineSeries>
            <c15:filteredLineSeries>
              <c15:ser>
                <c:idx val="5"/>
                <c:order val="5"/>
                <c:tx>
                  <c:strRef>
                    <c:extLst>
                      <c:ext xmlns:c15="http://schemas.microsoft.com/office/drawing/2012/chart" uri="{02D57815-91ED-43cb-92C2-25804820EDAC}">
                        <c15:formulaRef>
                          <c15:sqref>'Data F4'!$G$5:$G$8</c15:sqref>
                        </c15:formulaRef>
                      </c:ext>
                    </c:extLst>
                    <c:strCache>
                      <c:ptCount val="4"/>
                      <c:pt idx="0">
                        <c:v>[6]</c:v>
                      </c:pt>
                      <c:pt idx="3">
                        <c:v>Singapore</c:v>
                      </c:pt>
                    </c:strCache>
                  </c:strRef>
                </c:tx>
                <c:marker>
                  <c:symbol val="none"/>
                </c:marker>
                <c:cat>
                  <c:numRef>
                    <c:extLst>
                      <c:ext xmlns:c15="http://schemas.microsoft.com/office/drawing/2012/chart" uri="{02D57815-91ED-43cb-92C2-25804820EDAC}">
                        <c15:formulaRef>
                          <c15:sqref>'Data F4'!$A$37:$A$81</c15:sqref>
                        </c15:formulaRef>
                      </c:ext>
                    </c:extLst>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extLst>
                      <c:ext xmlns:c15="http://schemas.microsoft.com/office/drawing/2012/chart" uri="{02D57815-91ED-43cb-92C2-25804820EDAC}">
                        <c15:formulaRef>
                          <c15:sqref>'Data F4'!$G$9:$G$14</c15:sqref>
                        </c15:formulaRef>
                      </c:ext>
                    </c:extLst>
                    <c:numCache>
                      <c:formatCode>General</c:formatCode>
                      <c:ptCount val="1"/>
                    </c:numCache>
                  </c:numRef>
                </c:val>
                <c:smooth val="0"/>
                <c:extLst xmlns:c15="http://schemas.microsoft.com/office/drawing/2012/chart">
                  <c:ext xmlns:c16="http://schemas.microsoft.com/office/drawing/2014/chart" uri="{C3380CC4-5D6E-409C-BE32-E72D297353CC}">
                    <c16:uniqueId val="{00000006-192F-4D90-BF6C-8406153441A5}"/>
                  </c:ext>
                </c:extLst>
              </c15:ser>
            </c15:filteredLineSeries>
          </c:ext>
        </c:extLst>
      </c:lineChart>
      <c:lineChart>
        <c:grouping val="standard"/>
        <c:varyColors val="0"/>
        <c:ser>
          <c:idx val="7"/>
          <c:order val="6"/>
          <c:tx>
            <c:v>% of corp. tax lost</c:v>
          </c:tx>
          <c:spPr>
            <a:ln>
              <a:solidFill>
                <a:schemeClr val="tx1"/>
              </a:solidFill>
            </a:ln>
          </c:spPr>
          <c:marker>
            <c:symbol val="none"/>
          </c:marker>
          <c:cat>
            <c:numRef>
              <c:f>'Data F4'!$A$37:$A$81</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'Data F4'!$W$37:$W$81</c:f>
              <c:numCache>
                <c:formatCode>0%</c:formatCode>
                <c:ptCount val="45"/>
                <c:pt idx="0">
                  <c:v>2.1801298657741198E-5</c:v>
                </c:pt>
                <c:pt idx="1">
                  <c:v>-8.7596779551892201E-5</c:v>
                </c:pt>
                <c:pt idx="2">
                  <c:v>-2.214439913733646E-4</c:v>
                </c:pt>
                <c:pt idx="3">
                  <c:v>1.1645777638372181E-4</c:v>
                </c:pt>
                <c:pt idx="4">
                  <c:v>9.402459250286917E-4</c:v>
                </c:pt>
                <c:pt idx="5">
                  <c:v>2.1098436214302021E-3</c:v>
                </c:pt>
                <c:pt idx="6">
                  <c:v>2.4363211248992272E-3</c:v>
                </c:pt>
                <c:pt idx="7">
                  <c:v>3.1193813001350462E-3</c:v>
                </c:pt>
                <c:pt idx="8">
                  <c:v>3.7149013138471996E-3</c:v>
                </c:pt>
                <c:pt idx="9">
                  <c:v>3.6966997143690096E-3</c:v>
                </c:pt>
                <c:pt idx="10">
                  <c:v>3.6768822381489444E-3</c:v>
                </c:pt>
                <c:pt idx="11">
                  <c:v>4.4098092220869207E-3</c:v>
                </c:pt>
                <c:pt idx="12">
                  <c:v>7.0860321308348117E-3</c:v>
                </c:pt>
                <c:pt idx="13">
                  <c:v>5.9760539481913573E-3</c:v>
                </c:pt>
                <c:pt idx="14">
                  <c:v>6.7067649622067549E-3</c:v>
                </c:pt>
                <c:pt idx="15">
                  <c:v>9.0467887216168184E-3</c:v>
                </c:pt>
                <c:pt idx="16">
                  <c:v>8.5305956785086713E-3</c:v>
                </c:pt>
                <c:pt idx="17">
                  <c:v>7.3241316148870217E-3</c:v>
                </c:pt>
                <c:pt idx="18">
                  <c:v>7.8333693860465105E-3</c:v>
                </c:pt>
                <c:pt idx="19">
                  <c:v>9.4355384694326215E-3</c:v>
                </c:pt>
                <c:pt idx="20">
                  <c:v>1.1216658057987997E-2</c:v>
                </c:pt>
                <c:pt idx="21">
                  <c:v>1.2656032654038352E-2</c:v>
                </c:pt>
                <c:pt idx="22">
                  <c:v>1.6966610775183282E-2</c:v>
                </c:pt>
                <c:pt idx="23">
                  <c:v>2.149292166892007E-2</c:v>
                </c:pt>
                <c:pt idx="24">
                  <c:v>2.3946523623223331E-2</c:v>
                </c:pt>
                <c:pt idx="25">
                  <c:v>2.5706796314110884E-2</c:v>
                </c:pt>
                <c:pt idx="26">
                  <c:v>2.5789199321478405E-2</c:v>
                </c:pt>
                <c:pt idx="27">
                  <c:v>2.9802186417232736E-2</c:v>
                </c:pt>
                <c:pt idx="28">
                  <c:v>3.3512757111928117E-2</c:v>
                </c:pt>
                <c:pt idx="29">
                  <c:v>4.7284985528654941E-2</c:v>
                </c:pt>
                <c:pt idx="30">
                  <c:v>4.5987980570823268E-2</c:v>
                </c:pt>
                <c:pt idx="31">
                  <c:v>5.3859492047561519E-2</c:v>
                </c:pt>
                <c:pt idx="32">
                  <c:v>6.0660125099160224E-2</c:v>
                </c:pt>
                <c:pt idx="33">
                  <c:v>4.0840358539572297E-2</c:v>
                </c:pt>
                <c:pt idx="34" formatCode="0.0%">
                  <c:v>5.8214418864470992E-2</c:v>
                </c:pt>
                <c:pt idx="35" formatCode="0.0%">
                  <c:v>5.6167239384446607E-2</c:v>
                </c:pt>
                <c:pt idx="36">
                  <c:v>5.8431643577656796E-2</c:v>
                </c:pt>
                <c:pt idx="37">
                  <c:v>6.2097197823337037E-2</c:v>
                </c:pt>
                <c:pt idx="38">
                  <c:v>6.1423882598098632E-2</c:v>
                </c:pt>
                <c:pt idx="39">
                  <c:v>7.2860898648978073E-2</c:v>
                </c:pt>
                <c:pt idx="40" formatCode="0.0%">
                  <c:v>0.09</c:v>
                </c:pt>
                <c:pt idx="41">
                  <c:v>8.8279246563469235E-2</c:v>
                </c:pt>
                <c:pt idx="42">
                  <c:v>8.9892875696098218E-2</c:v>
                </c:pt>
                <c:pt idx="43">
                  <c:v>9.9017331291928773E-2</c:v>
                </c:pt>
                <c:pt idx="44">
                  <c:v>0.10003235676728385</c:v>
                </c:pt>
              </c:numCache>
            </c:numRef>
          </c:val>
          <c:smooth val="0"/>
          <c:extLst>
            <c:ext xmlns:c16="http://schemas.microsoft.com/office/drawing/2014/chart" uri="{C3380CC4-5D6E-409C-BE32-E72D297353CC}">
              <c16:uniqueId val="{00000001-192F-4D90-BF6C-8406153441A5}"/>
            </c:ext>
          </c:extLst>
        </c:ser>
        <c:dLbls>
          <c:showLegendKey val="0"/>
          <c:showVal val="0"/>
          <c:showCatName val="0"/>
          <c:showSerName val="0"/>
          <c:showPercent val="0"/>
          <c:showBubbleSize val="0"/>
        </c:dLbls>
        <c:marker val="1"/>
        <c:smooth val="0"/>
        <c:axId val="750701840"/>
        <c:axId val="750689360"/>
      </c:lineChart>
      <c:catAx>
        <c:axId val="1839106456"/>
        <c:scaling>
          <c:orientation val="minMax"/>
        </c:scaling>
        <c:delete val="0"/>
        <c:axPos val="b"/>
        <c:numFmt formatCode="General" sourceLinked="0"/>
        <c:majorTickMark val="none"/>
        <c:minorTickMark val="none"/>
        <c:tickLblPos val="nextTo"/>
        <c:txPr>
          <a:bodyPr/>
          <a:lstStyle/>
          <a:p>
            <a:pPr>
              <a:defRPr sz="1800"/>
            </a:pPr>
            <a:endParaRPr lang="en-DK"/>
          </a:p>
        </c:txPr>
        <c:crossAx val="1839111368"/>
        <c:crosses val="autoZero"/>
        <c:auto val="1"/>
        <c:lblAlgn val="ctr"/>
        <c:lblOffset val="100"/>
        <c:tickLblSkip val="2"/>
        <c:noMultiLvlLbl val="0"/>
      </c:catAx>
      <c:valAx>
        <c:axId val="1839111368"/>
        <c:scaling>
          <c:orientation val="minMax"/>
          <c:min val="0"/>
        </c:scaling>
        <c:delete val="0"/>
        <c:axPos val="l"/>
        <c:majorGridlines>
          <c:spPr>
            <a:ln>
              <a:noFill/>
            </a:ln>
          </c:spPr>
        </c:majorGridlines>
        <c:title>
          <c:tx>
            <c:rich>
              <a:bodyPr/>
              <a:lstStyle/>
              <a:p>
                <a:pPr>
                  <a:defRPr sz="1800"/>
                </a:pPr>
                <a:r>
                  <a:rPr lang="en-US" sz="1800"/>
                  <a:t>% of multinational profits reported in tax havens</a:t>
                </a:r>
              </a:p>
            </c:rich>
          </c:tx>
          <c:layout>
            <c:manualLayout>
              <c:xMode val="edge"/>
              <c:yMode val="edge"/>
              <c:x val="6.8327972546573853E-3"/>
              <c:y val="0.15092996872134701"/>
            </c:manualLayout>
          </c:layout>
          <c:overlay val="0"/>
        </c:title>
        <c:numFmt formatCode="0%" sourceLinked="0"/>
        <c:majorTickMark val="none"/>
        <c:minorTickMark val="none"/>
        <c:tickLblPos val="nextTo"/>
        <c:txPr>
          <a:bodyPr/>
          <a:lstStyle/>
          <a:p>
            <a:pPr>
              <a:defRPr sz="1800"/>
            </a:pPr>
            <a:endParaRPr lang="en-DK"/>
          </a:p>
        </c:txPr>
        <c:crossAx val="1839106456"/>
        <c:crosses val="autoZero"/>
        <c:crossBetween val="between"/>
        <c:majorUnit val="4.0000000000000008E-2"/>
      </c:valAx>
      <c:valAx>
        <c:axId val="750689360"/>
        <c:scaling>
          <c:orientation val="minMax"/>
          <c:min val="0"/>
        </c:scaling>
        <c:delete val="0"/>
        <c:axPos val="r"/>
        <c:title>
          <c:tx>
            <c:rich>
              <a:bodyPr/>
              <a:lstStyle/>
              <a:p>
                <a:pPr>
                  <a:defRPr sz="1800"/>
                </a:pPr>
                <a:r>
                  <a:rPr lang="en-US" sz="1800"/>
                  <a:t>% of all corp. tax revenue lost</a:t>
                </a:r>
              </a:p>
            </c:rich>
          </c:tx>
          <c:overlay val="0"/>
        </c:title>
        <c:numFmt formatCode="0%" sourceLinked="1"/>
        <c:majorTickMark val="none"/>
        <c:minorTickMark val="none"/>
        <c:tickLblPos val="nextTo"/>
        <c:txPr>
          <a:bodyPr/>
          <a:lstStyle/>
          <a:p>
            <a:pPr>
              <a:defRPr sz="1800"/>
            </a:pPr>
            <a:endParaRPr lang="en-DK"/>
          </a:p>
        </c:txPr>
        <c:crossAx val="750701840"/>
        <c:crosses val="max"/>
        <c:crossBetween val="between"/>
        <c:majorUnit val="1.0000000000000002E-2"/>
      </c:valAx>
      <c:catAx>
        <c:axId val="750701840"/>
        <c:scaling>
          <c:orientation val="minMax"/>
        </c:scaling>
        <c:delete val="1"/>
        <c:axPos val="b"/>
        <c:numFmt formatCode="General" sourceLinked="1"/>
        <c:majorTickMark val="out"/>
        <c:minorTickMark val="none"/>
        <c:tickLblPos val="nextTo"/>
        <c:crossAx val="750689360"/>
        <c:crosses val="autoZero"/>
        <c:auto val="1"/>
        <c:lblAlgn val="ctr"/>
        <c:lblOffset val="100"/>
        <c:noMultiLvlLbl val="0"/>
      </c:catAx>
    </c:plotArea>
    <c:plotVisOnly val="1"/>
    <c:dispBlanksAs val="gap"/>
    <c:showDLblsOverMax val="0"/>
  </c:chart>
  <c:spPr>
    <a:noFill/>
    <a:ln>
      <a:noFill/>
    </a:ln>
  </c:spPr>
  <c:txPr>
    <a:bodyPr/>
    <a:lstStyle/>
    <a:p>
      <a:pPr>
        <a:defRPr>
          <a:latin typeface="Garamond" panose="02020404030301010803" pitchFamily="18" charset="0"/>
        </a:defRPr>
      </a:pPr>
      <a:endParaRPr lang="en-DK"/>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200"/>
              <a:t>Figure F3:</a:t>
            </a:r>
            <a:r>
              <a:rPr lang="en-GB" sz="2200" baseline="0"/>
              <a:t> </a:t>
            </a:r>
            <a:r>
              <a:rPr lang="en-GB" sz="2200"/>
              <a:t>Profits of</a:t>
            </a:r>
            <a:r>
              <a:rPr lang="en-GB" sz="2200" baseline="0"/>
              <a:t> foreign owned firms</a:t>
            </a:r>
            <a:r>
              <a:rPr lang="en-GB" sz="2200"/>
              <a:t> (%</a:t>
            </a:r>
            <a:r>
              <a:rPr lang="en-GB" sz="2200" baseline="0"/>
              <a:t> of </a:t>
            </a:r>
            <a:r>
              <a:rPr lang="en-GB" sz="2200"/>
              <a:t>global profits)</a:t>
            </a:r>
          </a:p>
        </c:rich>
      </c:tx>
      <c:layout>
        <c:manualLayout>
          <c:xMode val="edge"/>
          <c:yMode val="edge"/>
          <c:x val="0.15046346211504899"/>
          <c:y val="1.2523020499954501E-2"/>
        </c:manualLayout>
      </c:layout>
      <c:overlay val="0"/>
    </c:title>
    <c:autoTitleDeleted val="0"/>
    <c:plotArea>
      <c:layout>
        <c:manualLayout>
          <c:layoutTarget val="inner"/>
          <c:xMode val="edge"/>
          <c:yMode val="edge"/>
          <c:x val="7.30193759909704E-2"/>
          <c:y val="0.102088855081104"/>
          <c:w val="0.91935481242614503"/>
          <c:h val="0.774688462855186"/>
        </c:manualLayout>
      </c:layout>
      <c:lineChart>
        <c:grouping val="standard"/>
        <c:varyColors val="0"/>
        <c:ser>
          <c:idx val="0"/>
          <c:order val="0"/>
          <c:tx>
            <c:strRef>
              <c:f>'Data FA1'!$E$5</c:f>
              <c:strCache>
                <c:ptCount val="1"/>
                <c:pt idx="0">
                  <c:v>MNE profits/Global profits - Including imputations</c:v>
                </c:pt>
              </c:strCache>
            </c:strRef>
          </c:tx>
          <c:spPr>
            <a:ln>
              <a:solidFill>
                <a:schemeClr val="tx1"/>
              </a:solidFill>
            </a:ln>
          </c:spPr>
          <c:marker>
            <c:symbol val="circle"/>
            <c:size val="10"/>
            <c:spPr>
              <a:solidFill>
                <a:schemeClr val="bg1"/>
              </a:solidFill>
              <a:ln w="19050">
                <a:solidFill>
                  <a:schemeClr val="tx1"/>
                </a:solidFill>
              </a:ln>
            </c:spPr>
          </c:marker>
          <c:cat>
            <c:strRef>
              <c:f>'Data FA1'!$B$6:$B$15</c:f>
              <c:strCache>
                <c:ptCount val="10"/>
                <c:pt idx="0">
                  <c:v>1930-39</c:v>
                </c:pt>
                <c:pt idx="1">
                  <c:v>1940-49</c:v>
                </c:pt>
                <c:pt idx="2">
                  <c:v>1950-59</c:v>
                </c:pt>
                <c:pt idx="3">
                  <c:v>1960-69</c:v>
                </c:pt>
                <c:pt idx="4">
                  <c:v>1970-79</c:v>
                </c:pt>
                <c:pt idx="5">
                  <c:v>1980-89</c:v>
                </c:pt>
                <c:pt idx="6">
                  <c:v>1990-99</c:v>
                </c:pt>
                <c:pt idx="7">
                  <c:v>2000-09</c:v>
                </c:pt>
                <c:pt idx="8">
                  <c:v>2010-15</c:v>
                </c:pt>
                <c:pt idx="9">
                  <c:v>2016-19</c:v>
                </c:pt>
              </c:strCache>
            </c:strRef>
          </c:cat>
          <c:val>
            <c:numRef>
              <c:f>'Data FA1'!$E$6:$E$15</c:f>
              <c:numCache>
                <c:formatCode>General</c:formatCode>
                <c:ptCount val="10"/>
                <c:pt idx="0">
                  <c:v>1.0425330907353418E-2</c:v>
                </c:pt>
                <c:pt idx="1">
                  <c:v>1.1057169144162717E-2</c:v>
                </c:pt>
                <c:pt idx="2">
                  <c:v>1.8323308867469645E-2</c:v>
                </c:pt>
                <c:pt idx="3">
                  <c:v>2.0218823577897539E-2</c:v>
                </c:pt>
                <c:pt idx="4">
                  <c:v>3.5067022142916043E-2</c:v>
                </c:pt>
                <c:pt idx="5">
                  <c:v>4.2017242747818324E-2</c:v>
                </c:pt>
                <c:pt idx="6">
                  <c:v>5.4207827423913016E-2</c:v>
                </c:pt>
                <c:pt idx="7">
                  <c:v>0.13052595912927956</c:v>
                </c:pt>
                <c:pt idx="8">
                  <c:v>0.16181784544476441</c:v>
                </c:pt>
                <c:pt idx="9" formatCode="0.0%">
                  <c:v>0.16880000000000001</c:v>
                </c:pt>
              </c:numCache>
            </c:numRef>
          </c:val>
          <c:smooth val="0"/>
          <c:extLst>
            <c:ext xmlns:c16="http://schemas.microsoft.com/office/drawing/2014/chart" uri="{C3380CC4-5D6E-409C-BE32-E72D297353CC}">
              <c16:uniqueId val="{00000000-B9B1-43CD-9752-090A025620F0}"/>
            </c:ext>
          </c:extLst>
        </c:ser>
        <c:dLbls>
          <c:showLegendKey val="0"/>
          <c:showVal val="0"/>
          <c:showCatName val="0"/>
          <c:showSerName val="0"/>
          <c:showPercent val="0"/>
          <c:showBubbleSize val="0"/>
        </c:dLbls>
        <c:marker val="1"/>
        <c:smooth val="0"/>
        <c:axId val="1839106456"/>
        <c:axId val="1839111368"/>
      </c:lineChart>
      <c:catAx>
        <c:axId val="1839106456"/>
        <c:scaling>
          <c:orientation val="minMax"/>
        </c:scaling>
        <c:delete val="0"/>
        <c:axPos val="b"/>
        <c:numFmt formatCode="General" sourceLinked="0"/>
        <c:majorTickMark val="none"/>
        <c:minorTickMark val="none"/>
        <c:tickLblPos val="nextTo"/>
        <c:txPr>
          <a:bodyPr/>
          <a:lstStyle/>
          <a:p>
            <a:pPr>
              <a:defRPr sz="1800"/>
            </a:pPr>
            <a:endParaRPr lang="en-DK"/>
          </a:p>
        </c:txPr>
        <c:crossAx val="1839111368"/>
        <c:crosses val="autoZero"/>
        <c:auto val="1"/>
        <c:lblAlgn val="ctr"/>
        <c:lblOffset val="100"/>
        <c:noMultiLvlLbl val="0"/>
      </c:catAx>
      <c:valAx>
        <c:axId val="1839111368"/>
        <c:scaling>
          <c:orientation val="minMax"/>
          <c:min val="0"/>
        </c:scaling>
        <c:delete val="0"/>
        <c:axPos val="l"/>
        <c:majorGridlines>
          <c:spPr>
            <a:ln>
              <a:noFill/>
            </a:ln>
          </c:spPr>
        </c:majorGridlines>
        <c:numFmt formatCode="0%" sourceLinked="0"/>
        <c:majorTickMark val="none"/>
        <c:minorTickMark val="none"/>
        <c:tickLblPos val="nextTo"/>
        <c:txPr>
          <a:bodyPr/>
          <a:lstStyle/>
          <a:p>
            <a:pPr>
              <a:defRPr sz="1800"/>
            </a:pPr>
            <a:endParaRPr lang="en-DK"/>
          </a:p>
        </c:txPr>
        <c:crossAx val="1839106456"/>
        <c:crosses val="autoZero"/>
        <c:crossBetween val="between"/>
        <c:majorUnit val="0.02"/>
      </c:valAx>
    </c:plotArea>
    <c:plotVisOnly val="1"/>
    <c:dispBlanksAs val="gap"/>
    <c:showDLblsOverMax val="0"/>
  </c:chart>
  <c:spPr>
    <a:noFill/>
    <a:ln>
      <a:noFill/>
    </a:ln>
  </c:spPr>
  <c:txPr>
    <a:bodyPr/>
    <a:lstStyle/>
    <a:p>
      <a:pPr>
        <a:defRPr>
          <a:latin typeface="Garamond" panose="02020404030301010803" pitchFamily="18" charset="0"/>
        </a:defRPr>
      </a:pPr>
      <a:endParaRPr lang="en-DK"/>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7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sheetViews>
    <sheetView zoomScale="7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sheetViews>
    <sheetView zoomScale="75"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5C06F44-2457-4CC4-B385-12307B91E79B}">
  <sheetPr/>
  <sheetViews>
    <sheetView zoomScale="85"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B0BD05-B123-47EB-971B-0F77F0925F58}">
  <sheetPr/>
  <sheetViews>
    <sheetView zoomScale="85"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948D6E3-5FDE-4213-BA8A-9F437D28134A}">
  <sheetPr>
    <tabColor theme="1"/>
  </sheetPr>
  <sheetViews>
    <sheetView zoomScale="85" workbookViewId="0"/>
  </sheetViews>
  <pageMargins left="0.7" right="0.7" top="0.75" bottom="0.75" header="0.3" footer="0.3"/>
  <pageSetup paperSize="9" orientation="landscape"/>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89143" cy="6059714"/>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0.24196</cdr:x>
      <cdr:y>0.29926</cdr:y>
    </cdr:from>
    <cdr:to>
      <cdr:x>0.46543</cdr:x>
      <cdr:y>0.42734</cdr:y>
    </cdr:to>
    <cdr:sp macro="" textlink="">
      <cdr:nvSpPr>
        <cdr:cNvPr id="2" name="TextBox 1">
          <a:extLst xmlns:a="http://schemas.openxmlformats.org/drawingml/2006/main">
            <a:ext uri="{FF2B5EF4-FFF2-40B4-BE49-F238E27FC236}">
              <a16:creationId xmlns:a16="http://schemas.microsoft.com/office/drawing/2014/main" id="{4536E319-A116-F5DF-832F-896FD0E78EB0}"/>
            </a:ext>
          </a:extLst>
        </cdr:cNvPr>
        <cdr:cNvSpPr txBox="1"/>
      </cdr:nvSpPr>
      <cdr:spPr>
        <a:xfrm xmlns:a="http://schemas.openxmlformats.org/drawingml/2006/main">
          <a:off x="2248663" y="1815369"/>
          <a:ext cx="2076808" cy="776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solidFill>
                <a:schemeClr val="accent1">
                  <a:lumMod val="75000"/>
                </a:schemeClr>
              </a:solidFill>
              <a:latin typeface="Garamond" panose="02020404030301010803" pitchFamily="18" charset="0"/>
            </a:rPr>
            <a:t>Corporate</a:t>
          </a:r>
          <a:r>
            <a:rPr lang="en-GB" sz="1600" baseline="0">
              <a:solidFill>
                <a:schemeClr val="accent1">
                  <a:lumMod val="75000"/>
                </a:schemeClr>
              </a:solidFill>
              <a:latin typeface="Garamond" panose="02020404030301010803" pitchFamily="18" charset="0"/>
            </a:rPr>
            <a:t> profits in global income</a:t>
          </a:r>
          <a:endParaRPr lang="en-DK" sz="1600">
            <a:solidFill>
              <a:schemeClr val="accent1">
                <a:lumMod val="75000"/>
              </a:schemeClr>
            </a:solidFill>
            <a:latin typeface="Garamond" panose="02020404030301010803" pitchFamily="18" charset="0"/>
          </a:endParaRPr>
        </a:p>
      </cdr:txBody>
    </cdr:sp>
  </cdr:relSizeAnchor>
  <cdr:relSizeAnchor xmlns:cdr="http://schemas.openxmlformats.org/drawingml/2006/chartDrawing">
    <cdr:from>
      <cdr:x>0.45884</cdr:x>
      <cdr:y>0.69926</cdr:y>
    </cdr:from>
    <cdr:to>
      <cdr:x>0.69936</cdr:x>
      <cdr:y>0.82734</cdr:y>
    </cdr:to>
    <cdr:sp macro="" textlink="">
      <cdr:nvSpPr>
        <cdr:cNvPr id="3" name="TextBox 1">
          <a:extLst xmlns:a="http://schemas.openxmlformats.org/drawingml/2006/main">
            <a:ext uri="{FF2B5EF4-FFF2-40B4-BE49-F238E27FC236}">
              <a16:creationId xmlns:a16="http://schemas.microsoft.com/office/drawing/2014/main" id="{5EA5B06F-0E4D-A107-25A1-69D414CD0EF0}"/>
            </a:ext>
          </a:extLst>
        </cdr:cNvPr>
        <cdr:cNvSpPr txBox="1"/>
      </cdr:nvSpPr>
      <cdr:spPr>
        <a:xfrm xmlns:a="http://schemas.openxmlformats.org/drawingml/2006/main">
          <a:off x="4264189" y="4241794"/>
          <a:ext cx="2235223" cy="7769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aseline="0">
              <a:solidFill>
                <a:sysClr val="windowText" lastClr="000000"/>
              </a:solidFill>
              <a:latin typeface="Garamond" panose="02020404030301010803" pitchFamily="18" charset="0"/>
            </a:rPr>
            <a:t>Multinational profits in corporate profits</a:t>
          </a:r>
        </a:p>
        <a:p xmlns:a="http://schemas.openxmlformats.org/drawingml/2006/main">
          <a:endParaRPr lang="en-DK" sz="1600">
            <a:solidFill>
              <a:sysClr val="windowText" lastClr="000000"/>
            </a:solidFill>
            <a:latin typeface="Garamond" panose="02020404030301010803" pitchFamily="18"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A970E022-248F-A6E4-FB44-8345DA3E23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0.17122</cdr:x>
      <cdr:y>0.5431</cdr:y>
    </cdr:from>
    <cdr:to>
      <cdr:x>0.39067</cdr:x>
      <cdr:y>0.68473</cdr:y>
    </cdr:to>
    <cdr:sp macro="" textlink="">
      <cdr:nvSpPr>
        <cdr:cNvPr id="2" name="TextBox 1">
          <a:extLst xmlns:a="http://schemas.openxmlformats.org/drawingml/2006/main">
            <a:ext uri="{FF2B5EF4-FFF2-40B4-BE49-F238E27FC236}">
              <a16:creationId xmlns:a16="http://schemas.microsoft.com/office/drawing/2014/main" id="{4536E319-A116-F5DF-832F-896FD0E78EB0}"/>
            </a:ext>
          </a:extLst>
        </cdr:cNvPr>
        <cdr:cNvSpPr txBox="1"/>
      </cdr:nvSpPr>
      <cdr:spPr>
        <a:xfrm xmlns:a="http://schemas.openxmlformats.org/drawingml/2006/main">
          <a:off x="1591256" y="3294501"/>
          <a:ext cx="2039440" cy="859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aseline="0">
              <a:solidFill>
                <a:schemeClr val="accent1">
                  <a:lumMod val="75000"/>
                </a:schemeClr>
              </a:solidFill>
              <a:latin typeface="Garamond" panose="02020404030301010803" pitchFamily="18" charset="0"/>
            </a:rPr>
            <a:t>Multinational profits shifted to havens (left axis)</a:t>
          </a:r>
          <a:endParaRPr lang="en-DK" sz="1600">
            <a:solidFill>
              <a:schemeClr val="accent1">
                <a:lumMod val="75000"/>
              </a:schemeClr>
            </a:solidFill>
            <a:latin typeface="Garamond" panose="02020404030301010803" pitchFamily="18" charset="0"/>
          </a:endParaRPr>
        </a:p>
      </cdr:txBody>
    </cdr:sp>
  </cdr:relSizeAnchor>
  <cdr:relSizeAnchor xmlns:cdr="http://schemas.openxmlformats.org/drawingml/2006/chartDrawing">
    <cdr:from>
      <cdr:x>0.51994</cdr:x>
      <cdr:y>0.7202</cdr:y>
    </cdr:from>
    <cdr:to>
      <cdr:x>0.71045</cdr:x>
      <cdr:y>0.84828</cdr:y>
    </cdr:to>
    <cdr:sp macro="" textlink="">
      <cdr:nvSpPr>
        <cdr:cNvPr id="3" name="TextBox 1">
          <a:extLst xmlns:a="http://schemas.openxmlformats.org/drawingml/2006/main">
            <a:ext uri="{FF2B5EF4-FFF2-40B4-BE49-F238E27FC236}">
              <a16:creationId xmlns:a16="http://schemas.microsoft.com/office/drawing/2014/main" id="{5EA5B06F-0E4D-A107-25A1-69D414CD0EF0}"/>
            </a:ext>
          </a:extLst>
        </cdr:cNvPr>
        <cdr:cNvSpPr txBox="1"/>
      </cdr:nvSpPr>
      <cdr:spPr>
        <a:xfrm xmlns:a="http://schemas.openxmlformats.org/drawingml/2006/main">
          <a:off x="4831976" y="4368802"/>
          <a:ext cx="1770528" cy="776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solidFill>
                <a:sysClr val="windowText" lastClr="000000"/>
              </a:solidFill>
              <a:latin typeface="Garamond" panose="02020404030301010803" pitchFamily="18" charset="0"/>
            </a:rPr>
            <a:t>Corp.</a:t>
          </a:r>
          <a:r>
            <a:rPr lang="en-GB" sz="1600" baseline="0">
              <a:solidFill>
                <a:sysClr val="windowText" lastClr="000000"/>
              </a:solidFill>
              <a:latin typeface="Garamond" panose="02020404030301010803" pitchFamily="18" charset="0"/>
            </a:rPr>
            <a:t> tax rev. lost (right axis)</a:t>
          </a:r>
          <a:endParaRPr lang="en-DK" sz="1600">
            <a:solidFill>
              <a:sysClr val="windowText" lastClr="000000"/>
            </a:solidFill>
            <a:latin typeface="Garamond" panose="02020404030301010803" pitchFamily="18" charset="0"/>
          </a:endParaRPr>
        </a:p>
      </cdr:txBody>
    </cdr:sp>
  </cdr:relSizeAnchor>
  <cdr:relSizeAnchor xmlns:cdr="http://schemas.openxmlformats.org/drawingml/2006/chartDrawing">
    <cdr:from>
      <cdr:x>0.82637</cdr:x>
      <cdr:y>0.10591</cdr:y>
    </cdr:from>
    <cdr:to>
      <cdr:x>0.82878</cdr:x>
      <cdr:y>0.76724</cdr:y>
    </cdr:to>
    <cdr:cxnSp macro="">
      <cdr:nvCxnSpPr>
        <cdr:cNvPr id="5" name="Straight Connector 4">
          <a:extLst xmlns:a="http://schemas.openxmlformats.org/drawingml/2006/main">
            <a:ext uri="{FF2B5EF4-FFF2-40B4-BE49-F238E27FC236}">
              <a16:creationId xmlns:a16="http://schemas.microsoft.com/office/drawing/2014/main" id="{EE824E42-16A2-C07A-4212-8415DB0EFA97}"/>
            </a:ext>
          </a:extLst>
        </cdr:cNvPr>
        <cdr:cNvCxnSpPr/>
      </cdr:nvCxnSpPr>
      <cdr:spPr>
        <a:xfrm xmlns:a="http://schemas.openxmlformats.org/drawingml/2006/main" flipV="1">
          <a:off x="7679766" y="642471"/>
          <a:ext cx="22412" cy="4011705"/>
        </a:xfrm>
        <a:prstGeom xmlns:a="http://schemas.openxmlformats.org/drawingml/2006/main" prst="line">
          <a:avLst/>
        </a:prstGeom>
        <a:ln xmlns:a="http://schemas.openxmlformats.org/drawingml/2006/main">
          <a:solidFill>
            <a:schemeClr val="tx1">
              <a:lumMod val="50000"/>
              <a:lumOff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0.79003</cdr:x>
      <cdr:y>0.76946</cdr:y>
    </cdr:from>
    <cdr:to>
      <cdr:x>0.98055</cdr:x>
      <cdr:y>0.89754</cdr:y>
    </cdr:to>
    <cdr:sp macro="" textlink="">
      <cdr:nvSpPr>
        <cdr:cNvPr id="7" name="TextBox 1">
          <a:extLst xmlns:a="http://schemas.openxmlformats.org/drawingml/2006/main">
            <a:ext uri="{FF2B5EF4-FFF2-40B4-BE49-F238E27FC236}">
              <a16:creationId xmlns:a16="http://schemas.microsoft.com/office/drawing/2014/main" id="{0FE57902-BCBB-77E1-7BF7-39BBFAA92486}"/>
            </a:ext>
          </a:extLst>
        </cdr:cNvPr>
        <cdr:cNvSpPr txBox="1"/>
      </cdr:nvSpPr>
      <cdr:spPr>
        <a:xfrm xmlns:a="http://schemas.openxmlformats.org/drawingml/2006/main">
          <a:off x="7342093" y="4667625"/>
          <a:ext cx="1770528" cy="776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solidFill>
                <a:schemeClr val="accent3">
                  <a:lumMod val="75000"/>
                </a:schemeClr>
              </a:solidFill>
              <a:latin typeface="Garamond" panose="02020404030301010803" pitchFamily="18" charset="0"/>
            </a:rPr>
            <a:t>BEPS </a:t>
          </a:r>
        </a:p>
        <a:p xmlns:a="http://schemas.openxmlformats.org/drawingml/2006/main">
          <a:r>
            <a:rPr lang="en-GB" sz="1600">
              <a:solidFill>
                <a:schemeClr val="accent3">
                  <a:lumMod val="75000"/>
                </a:schemeClr>
              </a:solidFill>
              <a:latin typeface="Garamond" panose="02020404030301010803" pitchFamily="18" charset="0"/>
            </a:rPr>
            <a:t>initiated</a:t>
          </a:r>
          <a:endParaRPr lang="en-DK" sz="1600">
            <a:solidFill>
              <a:schemeClr val="accent3">
                <a:lumMod val="75000"/>
              </a:schemeClr>
            </a:solidFill>
            <a:latin typeface="Garamond" panose="02020404030301010803" pitchFamily="18" charset="0"/>
          </a:endParaRPr>
        </a:p>
      </cdr:txBody>
    </cdr:sp>
  </cdr:relSizeAnchor>
  <cdr:relSizeAnchor xmlns:cdr="http://schemas.openxmlformats.org/drawingml/2006/chartDrawing">
    <cdr:from>
      <cdr:x>0.85129</cdr:x>
      <cdr:y>0.11182</cdr:y>
    </cdr:from>
    <cdr:to>
      <cdr:x>0.85193</cdr:x>
      <cdr:y>0.60961</cdr:y>
    </cdr:to>
    <cdr:cxnSp macro="">
      <cdr:nvCxnSpPr>
        <cdr:cNvPr id="8" name="Straight Connector 7">
          <a:extLst xmlns:a="http://schemas.openxmlformats.org/drawingml/2006/main">
            <a:ext uri="{FF2B5EF4-FFF2-40B4-BE49-F238E27FC236}">
              <a16:creationId xmlns:a16="http://schemas.microsoft.com/office/drawing/2014/main" id="{7E6C8ADE-3BC4-97EE-569A-4D96A14F0813}"/>
            </a:ext>
          </a:extLst>
        </cdr:cNvPr>
        <cdr:cNvCxnSpPr/>
      </cdr:nvCxnSpPr>
      <cdr:spPr>
        <a:xfrm xmlns:a="http://schemas.openxmlformats.org/drawingml/2006/main" flipV="1">
          <a:off x="7911352" y="678328"/>
          <a:ext cx="5976" cy="3019612"/>
        </a:xfrm>
        <a:prstGeom xmlns:a="http://schemas.openxmlformats.org/drawingml/2006/main" prst="line">
          <a:avLst/>
        </a:prstGeom>
        <a:ln xmlns:a="http://schemas.openxmlformats.org/drawingml/2006/main">
          <a:solidFill>
            <a:srgbClr val="FF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0.82299</cdr:x>
      <cdr:y>0.60936</cdr:y>
    </cdr:from>
    <cdr:to>
      <cdr:x>0.9172</cdr:x>
      <cdr:y>0.73744</cdr:y>
    </cdr:to>
    <cdr:sp macro="" textlink="">
      <cdr:nvSpPr>
        <cdr:cNvPr id="10" name="TextBox 1">
          <a:extLst xmlns:a="http://schemas.openxmlformats.org/drawingml/2006/main">
            <a:ext uri="{FF2B5EF4-FFF2-40B4-BE49-F238E27FC236}">
              <a16:creationId xmlns:a16="http://schemas.microsoft.com/office/drawing/2014/main" id="{BC5A207B-A8B1-88CF-E6F2-B3B6CF2E0379}"/>
            </a:ext>
          </a:extLst>
        </cdr:cNvPr>
        <cdr:cNvSpPr txBox="1"/>
      </cdr:nvSpPr>
      <cdr:spPr>
        <a:xfrm xmlns:a="http://schemas.openxmlformats.org/drawingml/2006/main">
          <a:off x="7648387" y="3696446"/>
          <a:ext cx="875553" cy="776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solidFill>
                <a:srgbClr val="FF0000"/>
              </a:solidFill>
              <a:latin typeface="Garamond" panose="02020404030301010803" pitchFamily="18" charset="0"/>
            </a:rPr>
            <a:t>TCJA</a:t>
          </a:r>
          <a:endParaRPr lang="en-DK" sz="1600">
            <a:solidFill>
              <a:srgbClr val="FF0000"/>
            </a:solidFill>
            <a:latin typeface="Garamond" panose="02020404030301010803" pitchFamily="18"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2EBAB8-9B64-0F89-D5CB-FF1078464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0.10576</cdr:x>
      <cdr:y>0.12226</cdr:y>
    </cdr:from>
    <cdr:to>
      <cdr:x>0.13749</cdr:x>
      <cdr:y>0.1363</cdr:y>
    </cdr:to>
    <cdr:sp macro="" textlink="">
      <cdr:nvSpPr>
        <cdr:cNvPr id="4" name="Rectangle 3"/>
        <cdr:cNvSpPr/>
      </cdr:nvSpPr>
      <cdr:spPr>
        <a:xfrm xmlns:a="http://schemas.openxmlformats.org/drawingml/2006/main">
          <a:off x="984883" y="743927"/>
          <a:ext cx="295472" cy="85430"/>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0.09463</cdr:x>
      <cdr:y>0.12277</cdr:y>
    </cdr:from>
    <cdr:to>
      <cdr:x>0.10716</cdr:x>
      <cdr:y>0.13635</cdr:y>
    </cdr:to>
    <cdr:cxnSp macro="">
      <cdr:nvCxnSpPr>
        <cdr:cNvPr id="7" name="Straight Connector 6">
          <a:extLst xmlns:a="http://schemas.openxmlformats.org/drawingml/2006/main">
            <a:ext uri="{FF2B5EF4-FFF2-40B4-BE49-F238E27FC236}">
              <a16:creationId xmlns:a16="http://schemas.microsoft.com/office/drawing/2014/main" id="{28FDAF86-33B8-3F43-B7E7-A2917E2F919E}"/>
            </a:ext>
          </a:extLst>
        </cdr:cNvPr>
        <cdr:cNvCxnSpPr/>
      </cdr:nvCxnSpPr>
      <cdr:spPr>
        <a:xfrm xmlns:a="http://schemas.openxmlformats.org/drawingml/2006/main">
          <a:off x="881221" y="747015"/>
          <a:ext cx="116680" cy="8263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0.0957</cdr:x>
      <cdr:y>0.10938</cdr:y>
    </cdr:from>
    <cdr:to>
      <cdr:x>0.10822</cdr:x>
      <cdr:y>0.12296</cdr:y>
    </cdr:to>
    <cdr:cxnSp macro="">
      <cdr:nvCxnSpPr>
        <cdr:cNvPr id="11" name="Straight Connector 10">
          <a:extLst xmlns:a="http://schemas.openxmlformats.org/drawingml/2006/main">
            <a:ext uri="{FF2B5EF4-FFF2-40B4-BE49-F238E27FC236}">
              <a16:creationId xmlns:a16="http://schemas.microsoft.com/office/drawing/2014/main" id="{EE6B6923-B984-4A43-9585-CD8198898AFD}"/>
            </a:ext>
          </a:extLst>
        </cdr:cNvPr>
        <cdr:cNvCxnSpPr/>
      </cdr:nvCxnSpPr>
      <cdr:spPr>
        <a:xfrm xmlns:a="http://schemas.openxmlformats.org/drawingml/2006/main">
          <a:off x="891178" y="665557"/>
          <a:ext cx="116587" cy="8263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0.10576</cdr:x>
      <cdr:y>0.12226</cdr:y>
    </cdr:from>
    <cdr:to>
      <cdr:x>0.13749</cdr:x>
      <cdr:y>0.1363</cdr:y>
    </cdr:to>
    <cdr:sp macro="" textlink="">
      <cdr:nvSpPr>
        <cdr:cNvPr id="4" name="Rectangle 3"/>
        <cdr:cNvSpPr/>
      </cdr:nvSpPr>
      <cdr:spPr>
        <a:xfrm xmlns:a="http://schemas.openxmlformats.org/drawingml/2006/main">
          <a:off x="984883" y="743927"/>
          <a:ext cx="295472" cy="85430"/>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0.09463</cdr:x>
      <cdr:y>0.12277</cdr:y>
    </cdr:from>
    <cdr:to>
      <cdr:x>0.10716</cdr:x>
      <cdr:y>0.13635</cdr:y>
    </cdr:to>
    <cdr:cxnSp macro="">
      <cdr:nvCxnSpPr>
        <cdr:cNvPr id="7" name="Straight Connector 6">
          <a:extLst xmlns:a="http://schemas.openxmlformats.org/drawingml/2006/main">
            <a:ext uri="{FF2B5EF4-FFF2-40B4-BE49-F238E27FC236}">
              <a16:creationId xmlns:a16="http://schemas.microsoft.com/office/drawing/2014/main" id="{0EE372A0-F1F3-E34E-A344-CBB3B2C480F0}"/>
            </a:ext>
          </a:extLst>
        </cdr:cNvPr>
        <cdr:cNvCxnSpPr/>
      </cdr:nvCxnSpPr>
      <cdr:spPr>
        <a:xfrm xmlns:a="http://schemas.openxmlformats.org/drawingml/2006/main">
          <a:off x="881221" y="747015"/>
          <a:ext cx="116680" cy="8263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0.0957</cdr:x>
      <cdr:y>0.10938</cdr:y>
    </cdr:from>
    <cdr:to>
      <cdr:x>0.10822</cdr:x>
      <cdr:y>0.12296</cdr:y>
    </cdr:to>
    <cdr:cxnSp macro="">
      <cdr:nvCxnSpPr>
        <cdr:cNvPr id="11" name="Straight Connector 10">
          <a:extLst xmlns:a="http://schemas.openxmlformats.org/drawingml/2006/main">
            <a:ext uri="{FF2B5EF4-FFF2-40B4-BE49-F238E27FC236}">
              <a16:creationId xmlns:a16="http://schemas.microsoft.com/office/drawing/2014/main" id="{6732FDC8-75ED-F545-8CD3-7D7C6DDFC83C}"/>
            </a:ext>
          </a:extLst>
        </cdr:cNvPr>
        <cdr:cNvCxnSpPr/>
      </cdr:nvCxnSpPr>
      <cdr:spPr>
        <a:xfrm xmlns:a="http://schemas.openxmlformats.org/drawingml/2006/main">
          <a:off x="891178" y="665557"/>
          <a:ext cx="116587" cy="8263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0.00621</cdr:x>
      <cdr:y>0.03994</cdr:y>
    </cdr:from>
    <cdr:to>
      <cdr:x>0.10432</cdr:x>
      <cdr:y>0.08558</cdr:y>
    </cdr:to>
    <cdr:sp macro="" textlink="">
      <cdr:nvSpPr>
        <cdr:cNvPr id="2" name="TextBox 1"/>
        <cdr:cNvSpPr txBox="1"/>
      </cdr:nvSpPr>
      <cdr:spPr>
        <a:xfrm xmlns:a="http://schemas.openxmlformats.org/drawingml/2006/main">
          <a:off x="57726" y="242455"/>
          <a:ext cx="912091" cy="2770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800">
              <a:latin typeface="Garamond" panose="02020404030301010803" pitchFamily="18" charset="0"/>
            </a:rPr>
            <a:t>1686%</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89143" cy="6059714"/>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0.17202</cdr:x>
      <cdr:y>0.12226</cdr:y>
    </cdr:from>
    <cdr:to>
      <cdr:x>0.20375</cdr:x>
      <cdr:y>0.1363</cdr:y>
    </cdr:to>
    <cdr:sp macro="" textlink="">
      <cdr:nvSpPr>
        <cdr:cNvPr id="14" name="Rectangle 13"/>
        <cdr:cNvSpPr/>
      </cdr:nvSpPr>
      <cdr:spPr>
        <a:xfrm xmlns:a="http://schemas.openxmlformats.org/drawingml/2006/main">
          <a:off x="1599137" y="742192"/>
          <a:ext cx="294975" cy="85231"/>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0.17202</cdr:x>
      <cdr:y>0.08565</cdr:y>
    </cdr:from>
    <cdr:to>
      <cdr:x>0.20375</cdr:x>
      <cdr:y>0.09969</cdr:y>
    </cdr:to>
    <cdr:sp macro="" textlink="">
      <cdr:nvSpPr>
        <cdr:cNvPr id="15" name="Rectangle 14"/>
        <cdr:cNvSpPr/>
      </cdr:nvSpPr>
      <cdr:spPr>
        <a:xfrm xmlns:a="http://schemas.openxmlformats.org/drawingml/2006/main">
          <a:off x="1599137" y="519942"/>
          <a:ext cx="294975" cy="85231"/>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0.50728</cdr:x>
      <cdr:y>0.23888</cdr:y>
    </cdr:from>
    <cdr:to>
      <cdr:x>0.82332</cdr:x>
      <cdr:y>0.30823</cdr:y>
    </cdr:to>
    <cdr:sp macro="" textlink="">
      <cdr:nvSpPr>
        <cdr:cNvPr id="3" name="TextBox 2"/>
        <cdr:cNvSpPr txBox="1"/>
      </cdr:nvSpPr>
      <cdr:spPr>
        <a:xfrm xmlns:a="http://schemas.openxmlformats.org/drawingml/2006/main">
          <a:off x="4715891" y="1450124"/>
          <a:ext cx="2937976" cy="420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a-DK" sz="2000">
            <a:solidFill>
              <a:srgbClr val="FF0000"/>
            </a:solidFill>
            <a:latin typeface="Garamond" panose="02020404030301010803" pitchFamily="18"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E1938F8F-11E2-6A4E-A5AF-8FF157B8C2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drm808/Dropbox/International%20tax%20enforcement/RawData/TWZRawDat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dditional%20figures%20(brie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uwie/Dropbox/International%20tax%20enforcement/TWZ2022ReplicationGuideTabl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wie/Downloads/WrightZucman2018Appendix%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uwie/Dropbox/International%20tax%20enforcement/TWZ2022ReplicationGuideFigur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C:/Users/drm808/Dropbox/International%20tax%20enforcement/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wData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rm808/Dropbox/International%20tax%20enforcement/TWZ2018AppendixTabl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wie/Dropbox/International%20tax%20enforcement/Data%20update/TWZ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20map%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Users/drm808/Dropbox/International%20tax%20enforcement/TWZ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sers/drm808/Dropbox/International%20tax%20enforcement/Data%20update/IMF/countrynam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drm808/Dropbox/International%20tax%20enforcement/RawData/TWZRawData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uwie/Dropbox/International%20tax%20enforcement/Data%20update/Update%202017/TWZ2020%20(2017%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row r="33">
          <cell r="D33">
            <v>0.90165899999999999</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F3 "/>
      <sheetName val="Data F3"/>
      <sheetName val="F4"/>
      <sheetName val="Data F4"/>
      <sheetName val="Appendix F1"/>
      <sheetName val="Data FA1"/>
    </sheetNames>
    <sheetDataSet>
      <sheetData sheetId="0"/>
      <sheetData sheetId="2">
        <row r="4">
          <cell r="D4" t="str">
            <v>Share of foreign profits in corp. profits</v>
          </cell>
          <cell r="E4" t="str">
            <v>Share of corp. profits in national income</v>
          </cell>
        </row>
        <row r="19">
          <cell r="C19">
            <v>1975</v>
          </cell>
          <cell r="D19">
            <v>3.9517671230914431E-2</v>
          </cell>
          <cell r="E19">
            <v>0.14470206791406698</v>
          </cell>
        </row>
        <row r="20">
          <cell r="C20">
            <v>1976</v>
          </cell>
          <cell r="D20">
            <v>4.2340463869978785E-2</v>
          </cell>
          <cell r="E20">
            <v>0.14397126261561582</v>
          </cell>
        </row>
        <row r="21">
          <cell r="C21">
            <v>1977</v>
          </cell>
          <cell r="D21">
            <v>3.8154969011600294E-2</v>
          </cell>
          <cell r="E21">
            <v>0.1445614018544939</v>
          </cell>
        </row>
        <row r="22">
          <cell r="C22">
            <v>1978</v>
          </cell>
          <cell r="D22">
            <v>4.0643851190286316E-2</v>
          </cell>
          <cell r="E22">
            <v>0.14486121477397693</v>
          </cell>
        </row>
        <row r="23">
          <cell r="C23">
            <v>1979</v>
          </cell>
          <cell r="D23">
            <v>5.8991265673917902E-2</v>
          </cell>
          <cell r="E23">
            <v>0.14190607606739974</v>
          </cell>
        </row>
        <row r="24">
          <cell r="C24">
            <v>1980</v>
          </cell>
          <cell r="D24">
            <v>5.1606651452144603E-2</v>
          </cell>
          <cell r="E24">
            <v>0.13893632482514331</v>
          </cell>
        </row>
        <row r="25">
          <cell r="C25">
            <v>1981</v>
          </cell>
          <cell r="D25">
            <v>4.2229755996350538E-2</v>
          </cell>
          <cell r="E25">
            <v>0.14441739244778107</v>
          </cell>
        </row>
        <row r="26">
          <cell r="C26">
            <v>1982</v>
          </cell>
          <cell r="D26">
            <v>3.4810544743711716E-2</v>
          </cell>
          <cell r="E26">
            <v>0.14516043068528164</v>
          </cell>
        </row>
        <row r="27">
          <cell r="C27">
            <v>1983</v>
          </cell>
          <cell r="D27">
            <v>3.5934372019683518E-2</v>
          </cell>
          <cell r="E27">
            <v>0.15067141437877599</v>
          </cell>
        </row>
        <row r="28">
          <cell r="C28">
            <v>1984</v>
          </cell>
          <cell r="D28">
            <v>3.9915905352398924E-2</v>
          </cell>
          <cell r="E28">
            <v>0.15560705884144874</v>
          </cell>
        </row>
        <row r="29">
          <cell r="C29">
            <v>1985</v>
          </cell>
          <cell r="D29">
            <v>3.5856246989057969E-2</v>
          </cell>
          <cell r="E29">
            <v>0.15787049636712966</v>
          </cell>
        </row>
        <row r="30">
          <cell r="C30">
            <v>1986</v>
          </cell>
          <cell r="D30">
            <v>3.8408050494766366E-2</v>
          </cell>
          <cell r="E30">
            <v>0.15713913811353761</v>
          </cell>
        </row>
        <row r="31">
          <cell r="C31">
            <v>1987</v>
          </cell>
          <cell r="D31">
            <v>4.2975607423649996E-2</v>
          </cell>
          <cell r="E31">
            <v>0.15835844691816678</v>
          </cell>
        </row>
        <row r="32">
          <cell r="C32">
            <v>1988</v>
          </cell>
          <cell r="D32">
            <v>4.9200289610311462E-2</v>
          </cell>
          <cell r="E32">
            <v>0.16198837717118159</v>
          </cell>
        </row>
        <row r="33">
          <cell r="C33">
            <v>1989</v>
          </cell>
          <cell r="D33">
            <v>4.9235003396108125E-2</v>
          </cell>
          <cell r="E33">
            <v>0.16321954049849099</v>
          </cell>
        </row>
        <row r="34">
          <cell r="C34">
            <v>1990</v>
          </cell>
          <cell r="D34">
            <v>4.5864666584124032E-2</v>
          </cell>
          <cell r="E34">
            <v>0.15992041882154995</v>
          </cell>
        </row>
        <row r="35">
          <cell r="C35">
            <v>1991</v>
          </cell>
          <cell r="D35">
            <v>3.9175082863018414E-2</v>
          </cell>
          <cell r="E35">
            <v>0.1564549147222811</v>
          </cell>
        </row>
        <row r="36">
          <cell r="C36">
            <v>1992</v>
          </cell>
          <cell r="D36">
            <v>3.7604896736494295E-2</v>
          </cell>
          <cell r="E36">
            <v>0.15479722044315622</v>
          </cell>
        </row>
        <row r="37">
          <cell r="C37">
            <v>1993</v>
          </cell>
          <cell r="D37">
            <v>4.2923648522569538E-2</v>
          </cell>
          <cell r="E37">
            <v>0.15601794526942436</v>
          </cell>
        </row>
        <row r="38">
          <cell r="C38">
            <v>1994</v>
          </cell>
          <cell r="D38">
            <v>4.9021772096243324E-2</v>
          </cell>
          <cell r="E38">
            <v>0.16120024399049293</v>
          </cell>
        </row>
        <row r="39">
          <cell r="C39">
            <v>1995</v>
          </cell>
          <cell r="D39">
            <v>5.2284849767625673E-2</v>
          </cell>
          <cell r="E39">
            <v>0.16350535103761582</v>
          </cell>
        </row>
        <row r="40">
          <cell r="C40">
            <v>1996</v>
          </cell>
          <cell r="D40">
            <v>6.169362773939064E-2</v>
          </cell>
          <cell r="E40">
            <v>0.16612537731554916</v>
          </cell>
        </row>
        <row r="41">
          <cell r="C41">
            <v>1997</v>
          </cell>
          <cell r="D41">
            <v>6.5614923781717002E-2</v>
          </cell>
          <cell r="E41">
            <v>0.16905658686298317</v>
          </cell>
        </row>
        <row r="42">
          <cell r="C42">
            <v>1998</v>
          </cell>
          <cell r="D42">
            <v>6.545296520776768E-2</v>
          </cell>
          <cell r="E42">
            <v>0.16770399609041559</v>
          </cell>
        </row>
        <row r="43">
          <cell r="C43">
            <v>1999</v>
          </cell>
          <cell r="D43">
            <v>8.2441840940179603E-2</v>
          </cell>
          <cell r="E43">
            <v>0.16603567419961138</v>
          </cell>
        </row>
        <row r="44">
          <cell r="C44">
            <v>2000</v>
          </cell>
          <cell r="D44">
            <v>9.5347996860633624E-2</v>
          </cell>
          <cell r="E44">
            <v>0.16173886106400437</v>
          </cell>
        </row>
        <row r="45">
          <cell r="C45">
            <v>2001</v>
          </cell>
          <cell r="D45">
            <v>8.1004174605676341E-2</v>
          </cell>
          <cell r="E45">
            <v>0.16097701760114649</v>
          </cell>
        </row>
        <row r="46">
          <cell r="C46">
            <v>2002</v>
          </cell>
          <cell r="D46">
            <v>8.4976653688708048E-2</v>
          </cell>
          <cell r="E46">
            <v>0.16562429479480884</v>
          </cell>
        </row>
        <row r="47">
          <cell r="C47">
            <v>2003</v>
          </cell>
          <cell r="D47">
            <v>0.10365028500699139</v>
          </cell>
          <cell r="E47">
            <v>0.17028752212635573</v>
          </cell>
        </row>
        <row r="48">
          <cell r="C48">
            <v>2004</v>
          </cell>
          <cell r="D48">
            <v>0.13336791510510093</v>
          </cell>
          <cell r="E48">
            <v>0.17744971927147501</v>
          </cell>
        </row>
        <row r="49">
          <cell r="C49">
            <v>2005</v>
          </cell>
          <cell r="D49">
            <v>0.15906424406918185</v>
          </cell>
          <cell r="E49">
            <v>0.18059534068314209</v>
          </cell>
        </row>
        <row r="50">
          <cell r="C50">
            <v>2006</v>
          </cell>
          <cell r="D50">
            <v>0.16787251528349917</v>
          </cell>
          <cell r="E50">
            <v>0.18359636090393244</v>
          </cell>
        </row>
        <row r="51">
          <cell r="C51">
            <v>2007</v>
          </cell>
          <cell r="D51">
            <v>0.18110401031469744</v>
          </cell>
          <cell r="E51">
            <v>0.18348428437183417</v>
          </cell>
        </row>
        <row r="52">
          <cell r="C52">
            <v>2008</v>
          </cell>
          <cell r="D52">
            <v>0.14988601451008962</v>
          </cell>
          <cell r="E52">
            <v>0.18055457048188797</v>
          </cell>
        </row>
        <row r="53">
          <cell r="C53">
            <v>2009</v>
          </cell>
          <cell r="D53">
            <v>0.14898578184821715</v>
          </cell>
          <cell r="E53">
            <v>0.17855281871926884</v>
          </cell>
        </row>
        <row r="54">
          <cell r="C54">
            <v>2010</v>
          </cell>
          <cell r="D54">
            <v>0.17168841361525777</v>
          </cell>
          <cell r="E54">
            <v>0.18674684834289276</v>
          </cell>
        </row>
        <row r="55">
          <cell r="C55">
            <v>2011</v>
          </cell>
          <cell r="D55">
            <v>0.16912362182981472</v>
          </cell>
          <cell r="E55">
            <v>0.18506273739029191</v>
          </cell>
        </row>
        <row r="56">
          <cell r="C56">
            <v>2012</v>
          </cell>
          <cell r="D56">
            <v>0.15905782597509527</v>
          </cell>
          <cell r="E56">
            <v>0.18147799881404808</v>
          </cell>
        </row>
        <row r="57">
          <cell r="C57">
            <v>2013</v>
          </cell>
          <cell r="D57">
            <v>0.16055672901077334</v>
          </cell>
          <cell r="E57">
            <v>0.18181728523860391</v>
          </cell>
        </row>
        <row r="58">
          <cell r="C58">
            <v>2014</v>
          </cell>
          <cell r="D58">
            <v>0.16257022390757828</v>
          </cell>
          <cell r="E58">
            <v>0.18215657166315974</v>
          </cell>
        </row>
        <row r="59">
          <cell r="C59">
            <v>2015</v>
          </cell>
          <cell r="D59">
            <v>0.1479102583300671</v>
          </cell>
          <cell r="E59">
            <v>0.18464437358793825</v>
          </cell>
        </row>
        <row r="60">
          <cell r="C60">
            <v>2016</v>
          </cell>
          <cell r="D60">
            <v>0.15</v>
          </cell>
          <cell r="E60">
            <v>0.19355958240831084</v>
          </cell>
        </row>
        <row r="61">
          <cell r="C61">
            <v>2017</v>
          </cell>
          <cell r="D61">
            <v>0.15820000000000001</v>
          </cell>
          <cell r="E61">
            <v>0.19258990801824963</v>
          </cell>
        </row>
        <row r="62">
          <cell r="C62">
            <v>2018</v>
          </cell>
          <cell r="D62">
            <v>0.189</v>
          </cell>
          <cell r="E62">
            <v>0.19670500813489464</v>
          </cell>
        </row>
        <row r="63">
          <cell r="C63">
            <v>2019</v>
          </cell>
          <cell r="D63">
            <v>0.17799999999999999</v>
          </cell>
          <cell r="E63">
            <v>0.19996877996009457</v>
          </cell>
        </row>
      </sheetData>
      <sheetData sheetId="4">
        <row r="5">
          <cell r="C5" t="str">
            <v>[2]</v>
          </cell>
          <cell r="D5" t="str">
            <v>[3]</v>
          </cell>
          <cell r="E5" t="str">
            <v>[4]</v>
          </cell>
          <cell r="F5" t="str">
            <v>[5]</v>
          </cell>
          <cell r="G5" t="str">
            <v>[6]</v>
          </cell>
        </row>
        <row r="8">
          <cell r="C8" t="str">
            <v>Ireland</v>
          </cell>
          <cell r="D8" t="str">
            <v>Netherlands + Luxembourg</v>
          </cell>
          <cell r="E8" t="str">
            <v>Switzerland</v>
          </cell>
          <cell r="F8" t="str">
            <v>Bermuda and Carribbean havens</v>
          </cell>
          <cell r="G8" t="str">
            <v>Singapore</v>
          </cell>
        </row>
        <row r="10">
          <cell r="C10">
            <v>1.898637424880497E-3</v>
          </cell>
          <cell r="D10">
            <v>5.6880975747719519E-3</v>
          </cell>
          <cell r="E10">
            <v>1.2101307127591675E-2</v>
          </cell>
          <cell r="F10">
            <v>1.2953765629503422E-2</v>
          </cell>
          <cell r="G10">
            <v>3.9884874712347288E-4</v>
          </cell>
        </row>
        <row r="11">
          <cell r="C11">
            <v>2.5292380756968959E-3</v>
          </cell>
          <cell r="D11">
            <v>6.7474486434360419E-3</v>
          </cell>
          <cell r="E11">
            <v>1.2981742301347356E-2</v>
          </cell>
          <cell r="F11">
            <v>1.3311776880172913E-2</v>
          </cell>
          <cell r="G11">
            <v>6.2932911544540441E-4</v>
          </cell>
        </row>
        <row r="12">
          <cell r="C12">
            <v>1.6850844632500005E-3</v>
          </cell>
          <cell r="D12">
            <v>4.6494211014773898E-3</v>
          </cell>
          <cell r="E12">
            <v>1.4264690140101462E-2</v>
          </cell>
          <cell r="F12">
            <v>1.409833513667574E-2</v>
          </cell>
          <cell r="G12">
            <v>8.8152058304761865E-4</v>
          </cell>
        </row>
        <row r="13">
          <cell r="C13">
            <v>1.6841489799379963E-3</v>
          </cell>
          <cell r="D13">
            <v>4.621053804767951E-3</v>
          </cell>
          <cell r="E13">
            <v>1.5195924133777124E-2</v>
          </cell>
          <cell r="F13">
            <v>1.4552992943769738E-2</v>
          </cell>
          <cell r="G13">
            <v>1.1147119674153408E-3</v>
          </cell>
        </row>
        <row r="14">
          <cell r="C14">
            <v>4.3901504668719549E-3</v>
          </cell>
          <cell r="D14">
            <v>1.1349787357197525E-2</v>
          </cell>
          <cell r="E14">
            <v>1.5940051003780015E-2</v>
          </cell>
          <cell r="F14">
            <v>1.4861916465841916E-2</v>
          </cell>
          <cell r="G14">
            <v>1.3307242491931988E-3</v>
          </cell>
        </row>
        <row r="37">
          <cell r="A37">
            <v>1975</v>
          </cell>
          <cell r="U37">
            <v>3.2815558404711254E-4</v>
          </cell>
          <cell r="W37">
            <v>2.1801298657741198E-5</v>
          </cell>
        </row>
        <row r="38">
          <cell r="A38">
            <v>1976</v>
          </cell>
          <cell r="U38">
            <v>-1.2306124552415318E-3</v>
          </cell>
          <cell r="W38">
            <v>-8.7596779551892201E-5</v>
          </cell>
        </row>
        <row r="39">
          <cell r="A39">
            <v>1977</v>
          </cell>
          <cell r="U39">
            <v>-3.4522447174006746E-3</v>
          </cell>
          <cell r="W39">
            <v>-2.214439913733646E-4</v>
          </cell>
        </row>
        <row r="40">
          <cell r="A40">
            <v>1978</v>
          </cell>
          <cell r="U40">
            <v>1.7043642620715059E-3</v>
          </cell>
          <cell r="W40">
            <v>1.1645777638372181E-4</v>
          </cell>
        </row>
        <row r="41">
          <cell r="A41">
            <v>1979</v>
          </cell>
          <cell r="U41">
            <v>9.4807462712462442E-3</v>
          </cell>
          <cell r="W41">
            <v>9.402459250286917E-4</v>
          </cell>
        </row>
        <row r="42">
          <cell r="A42">
            <v>1980</v>
          </cell>
          <cell r="U42">
            <v>2.4318308581808661E-2</v>
          </cell>
          <cell r="W42">
            <v>2.1098436214302021E-3</v>
          </cell>
        </row>
        <row r="43">
          <cell r="A43">
            <v>1981</v>
          </cell>
          <cell r="U43">
            <v>3.4316638283899338E-2</v>
          </cell>
          <cell r="W43">
            <v>2.4363211248992272E-3</v>
          </cell>
        </row>
        <row r="44">
          <cell r="A44">
            <v>1982</v>
          </cell>
          <cell r="U44">
            <v>5.330235814211657E-2</v>
          </cell>
          <cell r="W44">
            <v>3.1193813001350462E-3</v>
          </cell>
        </row>
        <row r="45">
          <cell r="A45">
            <v>1983</v>
          </cell>
          <cell r="U45">
            <v>6.1493045130559199E-2</v>
          </cell>
          <cell r="W45">
            <v>3.7149013138471996E-3</v>
          </cell>
        </row>
        <row r="46">
          <cell r="A46">
            <v>1984</v>
          </cell>
          <cell r="U46">
            <v>5.5087995258237259E-2</v>
          </cell>
          <cell r="W46">
            <v>3.6966997143690096E-3</v>
          </cell>
        </row>
        <row r="47">
          <cell r="A47">
            <v>1985</v>
          </cell>
          <cell r="U47">
            <v>6.0996324767759867E-2</v>
          </cell>
          <cell r="W47">
            <v>3.6768822381489444E-3</v>
          </cell>
        </row>
        <row r="48">
          <cell r="A48">
            <v>1986</v>
          </cell>
          <cell r="U48">
            <v>6.8294592122910849E-2</v>
          </cell>
          <cell r="W48">
            <v>4.4098092220869207E-3</v>
          </cell>
        </row>
        <row r="49">
          <cell r="A49">
            <v>1987</v>
          </cell>
          <cell r="U49">
            <v>9.807760942603963E-2</v>
          </cell>
          <cell r="W49">
            <v>7.0860321308348117E-3</v>
          </cell>
        </row>
        <row r="50">
          <cell r="A50">
            <v>1988</v>
          </cell>
          <cell r="U50">
            <v>7.2249630171488763E-2</v>
          </cell>
          <cell r="W50">
            <v>5.9760539481913573E-3</v>
          </cell>
        </row>
        <row r="51">
          <cell r="A51">
            <v>1989</v>
          </cell>
          <cell r="U51">
            <v>8.1026651710973632E-2</v>
          </cell>
          <cell r="W51">
            <v>6.7067649622067549E-3</v>
          </cell>
        </row>
        <row r="52">
          <cell r="A52">
            <v>1990</v>
          </cell>
          <cell r="U52">
            <v>0.1173288963214047</v>
          </cell>
          <cell r="W52">
            <v>9.0467887216168184E-3</v>
          </cell>
        </row>
        <row r="53">
          <cell r="A53">
            <v>1991</v>
          </cell>
          <cell r="U53">
            <v>0.1295263754497612</v>
          </cell>
          <cell r="W53">
            <v>8.5305956785086713E-3</v>
          </cell>
        </row>
        <row r="54">
          <cell r="A54">
            <v>1992</v>
          </cell>
          <cell r="U54">
            <v>0.11585119496516041</v>
          </cell>
          <cell r="W54">
            <v>7.3241316148870217E-3</v>
          </cell>
        </row>
        <row r="55">
          <cell r="A55">
            <v>1993</v>
          </cell>
          <cell r="U55">
            <v>0.10855273113131789</v>
          </cell>
          <cell r="W55">
            <v>7.8333693860465105E-3</v>
          </cell>
        </row>
        <row r="56">
          <cell r="A56">
            <v>1994</v>
          </cell>
          <cell r="U56">
            <v>0.1144897115620159</v>
          </cell>
          <cell r="W56">
            <v>9.4355384694326215E-3</v>
          </cell>
        </row>
        <row r="57">
          <cell r="A57">
            <v>1995</v>
          </cell>
          <cell r="U57">
            <v>0.12760755697157922</v>
          </cell>
          <cell r="W57">
            <v>1.1216658057987997E-2</v>
          </cell>
        </row>
        <row r="58">
          <cell r="A58">
            <v>1996</v>
          </cell>
          <cell r="U58">
            <v>0.12202422450602622</v>
          </cell>
          <cell r="W58">
            <v>1.2656032654038352E-2</v>
          </cell>
        </row>
        <row r="59">
          <cell r="A59">
            <v>1997</v>
          </cell>
          <cell r="U59">
            <v>0.15380882217779418</v>
          </cell>
          <cell r="W59">
            <v>1.6966610775183282E-2</v>
          </cell>
        </row>
        <row r="60">
          <cell r="A60">
            <v>1998</v>
          </cell>
          <cell r="U60">
            <v>0.1953236844772902</v>
          </cell>
          <cell r="W60">
            <v>2.149292166892007E-2</v>
          </cell>
        </row>
        <row r="61">
          <cell r="A61">
            <v>1999</v>
          </cell>
          <cell r="U61">
            <v>0.17277606227980169</v>
          </cell>
          <cell r="W61">
            <v>2.3946523623223331E-2</v>
          </cell>
        </row>
        <row r="62">
          <cell r="A62">
            <v>2000</v>
          </cell>
          <cell r="U62">
            <v>0.16037075033180187</v>
          </cell>
          <cell r="W62">
            <v>2.5706796314110884E-2</v>
          </cell>
        </row>
        <row r="63">
          <cell r="A63">
            <v>2001</v>
          </cell>
          <cell r="U63">
            <v>0.18937351307636915</v>
          </cell>
          <cell r="W63">
            <v>2.5789199321478405E-2</v>
          </cell>
        </row>
        <row r="64">
          <cell r="A64">
            <v>2002</v>
          </cell>
          <cell r="U64">
            <v>0.20861103617717636</v>
          </cell>
          <cell r="W64">
            <v>2.9802186417232736E-2</v>
          </cell>
        </row>
        <row r="65">
          <cell r="A65">
            <v>2003</v>
          </cell>
          <cell r="U65">
            <v>0.19232176523117281</v>
          </cell>
          <cell r="W65">
            <v>3.3512757111928117E-2</v>
          </cell>
        </row>
        <row r="66">
          <cell r="A66">
            <v>2004</v>
          </cell>
          <cell r="U66">
            <v>0.21089227733949423</v>
          </cell>
          <cell r="W66">
            <v>4.7284985528654941E-2</v>
          </cell>
        </row>
        <row r="67">
          <cell r="A67">
            <v>2005</v>
          </cell>
          <cell r="U67">
            <v>0.17197311249575917</v>
          </cell>
          <cell r="W67">
            <v>4.5987980570823268E-2</v>
          </cell>
        </row>
        <row r="68">
          <cell r="A68">
            <v>2006</v>
          </cell>
          <cell r="U68">
            <v>0.19084089023668974</v>
          </cell>
          <cell r="W68">
            <v>5.3859492047561519E-2</v>
          </cell>
        </row>
        <row r="69">
          <cell r="A69">
            <v>2007</v>
          </cell>
          <cell r="U69">
            <v>0.19923425606522768</v>
          </cell>
          <cell r="W69">
            <v>6.0660125099160224E-2</v>
          </cell>
        </row>
        <row r="70">
          <cell r="A70">
            <v>2008</v>
          </cell>
          <cell r="U70">
            <v>0.16207544120397871</v>
          </cell>
          <cell r="W70">
            <v>4.0840358539572297E-2</v>
          </cell>
        </row>
        <row r="71">
          <cell r="A71">
            <v>2009</v>
          </cell>
          <cell r="U71">
            <v>0.23242054766724693</v>
          </cell>
          <cell r="W71">
            <v>5.8214418864470992E-2</v>
          </cell>
        </row>
        <row r="72">
          <cell r="A72">
            <v>2010</v>
          </cell>
          <cell r="U72">
            <v>0.19459463800712956</v>
          </cell>
          <cell r="W72">
            <v>5.6167239384446607E-2</v>
          </cell>
        </row>
        <row r="73">
          <cell r="A73">
            <v>2011</v>
          </cell>
          <cell r="U73">
            <v>0.20550983473703949</v>
          </cell>
          <cell r="W73">
            <v>5.8431643577656796E-2</v>
          </cell>
        </row>
        <row r="74">
          <cell r="A74">
            <v>2012</v>
          </cell>
          <cell r="U74">
            <v>0.23222327141630777</v>
          </cell>
          <cell r="W74">
            <v>6.2097197823337037E-2</v>
          </cell>
        </row>
        <row r="75">
          <cell r="A75">
            <v>2013</v>
          </cell>
          <cell r="U75">
            <v>0.22756084151551642</v>
          </cell>
          <cell r="W75">
            <v>6.1423882598098632E-2</v>
          </cell>
        </row>
        <row r="76">
          <cell r="A76">
            <v>2014</v>
          </cell>
          <cell r="U76">
            <v>0.26658904429260477</v>
          </cell>
          <cell r="W76">
            <v>7.2860898648978073E-2</v>
          </cell>
        </row>
        <row r="77">
          <cell r="A77">
            <v>2015</v>
          </cell>
          <cell r="U77">
            <v>0.3619370081190203</v>
          </cell>
          <cell r="W77">
            <v>0.09</v>
          </cell>
        </row>
        <row r="78">
          <cell r="A78">
            <v>2016</v>
          </cell>
          <cell r="U78">
            <v>0.36224558978351656</v>
          </cell>
          <cell r="W78">
            <v>8.8279246563469235E-2</v>
          </cell>
        </row>
        <row r="79">
          <cell r="A79">
            <v>2017</v>
          </cell>
          <cell r="U79">
            <v>0.35975842449750389</v>
          </cell>
          <cell r="W79">
            <v>8.9892875696098218E-2</v>
          </cell>
        </row>
        <row r="80">
          <cell r="A80">
            <v>2018</v>
          </cell>
          <cell r="U80">
            <v>0.35639008352064244</v>
          </cell>
          <cell r="W80">
            <v>9.9017331291928773E-2</v>
          </cell>
        </row>
        <row r="81">
          <cell r="A81">
            <v>2019</v>
          </cell>
          <cell r="U81">
            <v>0.37420932775225652</v>
          </cell>
          <cell r="W81">
            <v>0.10003235676728385</v>
          </cell>
        </row>
      </sheetData>
      <sheetData sheetId="6">
        <row r="5">
          <cell r="E5" t="str">
            <v>MNE profits/Global profits - Including imputations</v>
          </cell>
        </row>
        <row r="6">
          <cell r="B6" t="str">
            <v>1930-39</v>
          </cell>
          <cell r="E6">
            <v>1.0425330907353418E-2</v>
          </cell>
        </row>
        <row r="7">
          <cell r="B7" t="str">
            <v>1940-49</v>
          </cell>
          <cell r="E7">
            <v>1.1057169144162717E-2</v>
          </cell>
        </row>
        <row r="8">
          <cell r="B8" t="str">
            <v>1950-59</v>
          </cell>
          <cell r="E8">
            <v>1.8323308867469645E-2</v>
          </cell>
        </row>
        <row r="9">
          <cell r="B9" t="str">
            <v>1960-69</v>
          </cell>
          <cell r="E9">
            <v>2.0218823577897539E-2</v>
          </cell>
        </row>
        <row r="10">
          <cell r="B10" t="str">
            <v>1970-79</v>
          </cell>
          <cell r="E10">
            <v>3.5067022142916043E-2</v>
          </cell>
        </row>
        <row r="11">
          <cell r="B11" t="str">
            <v>1980-89</v>
          </cell>
          <cell r="E11">
            <v>4.2017242747818324E-2</v>
          </cell>
        </row>
        <row r="12">
          <cell r="B12" t="str">
            <v>1990-99</v>
          </cell>
          <cell r="E12">
            <v>5.4207827423913016E-2</v>
          </cell>
        </row>
        <row r="13">
          <cell r="B13" t="str">
            <v>2000-09</v>
          </cell>
          <cell r="E13">
            <v>0.13052595912927956</v>
          </cell>
        </row>
        <row r="14">
          <cell r="B14" t="str">
            <v>2010-15</v>
          </cell>
          <cell r="E14">
            <v>0.16181784544476441</v>
          </cell>
        </row>
        <row r="15">
          <cell r="B15" t="str">
            <v>2016-19</v>
          </cell>
          <cell r="E15">
            <v>0.16880000000000001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licationGuideTables"/>
      <sheetName val="TableA1"/>
      <sheetName val="TableA2"/>
      <sheetName val="TableA2b"/>
      <sheetName val="TableA3"/>
      <sheetName val="TableA4"/>
      <sheetName val="TableA5"/>
      <sheetName val="TableA6"/>
      <sheetName val="TableA7"/>
      <sheetName val="TableA8"/>
      <sheetName val="TableA9"/>
      <sheetName val="TableA10"/>
      <sheetName val="TableA10b"/>
      <sheetName val="TableA11"/>
      <sheetName val="TableA11b"/>
      <sheetName val="TableA12"/>
      <sheetName val="TableB1"/>
      <sheetName val="TableB1b"/>
      <sheetName val="TableB2"/>
      <sheetName val="TableB3"/>
      <sheetName val="TableB4"/>
      <sheetName val="TableB5"/>
      <sheetName val="TableB6"/>
      <sheetName val="TableB7"/>
      <sheetName val="TableB8"/>
      <sheetName val="TableB9"/>
      <sheetName val="TableB10"/>
      <sheetName val="TableB11"/>
      <sheetName val="TableB12a"/>
      <sheetName val="TableB12b"/>
      <sheetName val="TableC1"/>
      <sheetName val="TableC2"/>
      <sheetName val="TableC3"/>
      <sheetName val="TableC4"/>
      <sheetName val="TableC4b"/>
      <sheetName val="TableC4c"/>
      <sheetName val="TableC4d"/>
      <sheetName val="TableC4e"/>
      <sheetName val="TableC4x"/>
      <sheetName val="TableC5"/>
      <sheetName val="TableC5b"/>
      <sheetName val="TableC6"/>
      <sheetName val="TableC7"/>
      <sheetName val="TableD1a"/>
      <sheetName val="TableD1b"/>
      <sheetName val="TableD2"/>
      <sheetName val="TableD2(aux)"/>
      <sheetName val="Table E1"/>
      <sheetName val="Table E2 "/>
      <sheetName val="Table E3"/>
      <sheetName val="TableE4"/>
      <sheetName val="TableF1a"/>
      <sheetName val="TableF1b"/>
      <sheetName val="TableF1c"/>
      <sheetName val="TableF2"/>
      <sheetName val="TableF3"/>
      <sheetName val="TableF4"/>
      <sheetName val="TableF4c"/>
      <sheetName val="ComparisonCBCR"/>
      <sheetName val="Table G1"/>
      <sheetName val="Table G2"/>
      <sheetName val="Table G3"/>
      <sheetName val="Table G4"/>
      <sheetName val="Table G5"/>
      <sheetName val="US CBCR 2016"/>
      <sheetName val="NewComputationsRevision"/>
      <sheetName val="GP2020data"/>
      <sheetName val="Forbes1"/>
      <sheetName val="Forbes2"/>
      <sheetName val="FractionShifted"/>
    </sheetNames>
    <sheetDataSet>
      <sheetData sheetId="0"/>
      <sheetData sheetId="1">
        <row r="9">
          <cell r="A9" t="str">
            <v>OECD countries</v>
          </cell>
        </row>
      </sheetData>
      <sheetData sheetId="2">
        <row r="10">
          <cell r="A10" t="str">
            <v>Australia</v>
          </cell>
        </row>
      </sheetData>
      <sheetData sheetId="3">
        <row r="10">
          <cell r="A10" t="str">
            <v>Australia</v>
          </cell>
        </row>
      </sheetData>
      <sheetData sheetId="4">
        <row r="10">
          <cell r="A10" t="str">
            <v>Australia</v>
          </cell>
        </row>
      </sheetData>
      <sheetData sheetId="5">
        <row r="3">
          <cell r="A3" t="str">
            <v>Table A.4: Corporate value-added: local firms vs. foreign-controlled firms (excl. SPEs) (2015)</v>
          </cell>
        </row>
      </sheetData>
      <sheetData sheetId="6"/>
      <sheetData sheetId="7">
        <row r="3">
          <cell r="A3" t="str">
            <v>Table A.6: Corrected corporate profits (2015)</v>
          </cell>
        </row>
      </sheetData>
      <sheetData sheetId="8">
        <row r="3">
          <cell r="A3" t="str">
            <v>Table A.7: Artificially shifted profits (2015)</v>
          </cell>
        </row>
      </sheetData>
      <sheetData sheetId="9"/>
      <sheetData sheetId="10"/>
      <sheetData sheetId="11"/>
      <sheetData sheetId="12"/>
      <sheetData sheetId="13"/>
      <sheetData sheetId="14"/>
      <sheetData sheetId="15"/>
      <sheetData sheetId="16"/>
      <sheetData sheetId="17">
        <row r="12">
          <cell r="A12" t="str">
            <v>Australia</v>
          </cell>
        </row>
      </sheetData>
      <sheetData sheetId="18"/>
      <sheetData sheetId="19"/>
      <sheetData sheetId="20"/>
      <sheetData sheetId="21"/>
      <sheetData sheetId="22"/>
      <sheetData sheetId="23"/>
      <sheetData sheetId="24"/>
      <sheetData sheetId="25">
        <row r="29">
          <cell r="N29">
            <v>-99.36502943565533</v>
          </cell>
        </row>
      </sheetData>
      <sheetData sheetId="26">
        <row r="10">
          <cell r="D10" t="str">
            <v>Australia</v>
          </cell>
        </row>
      </sheetData>
      <sheetData sheetId="27"/>
      <sheetData sheetId="28">
        <row r="18">
          <cell r="C18">
            <v>-27767.8</v>
          </cell>
        </row>
      </sheetData>
      <sheetData sheetId="29"/>
      <sheetData sheetId="30"/>
      <sheetData sheetId="31"/>
      <sheetData sheetId="32"/>
      <sheetData sheetId="33"/>
      <sheetData sheetId="34">
        <row r="4">
          <cell r="B4" t="str">
            <v>Table C4b: Allocating the profits shifted to tax havens</v>
          </cell>
        </row>
      </sheetData>
      <sheetData sheetId="35"/>
      <sheetData sheetId="36">
        <row r="10">
          <cell r="B10" t="str">
            <v>OECD countries</v>
          </cell>
        </row>
      </sheetData>
      <sheetData sheetId="37"/>
      <sheetData sheetId="38"/>
      <sheetData sheetId="39">
        <row r="10">
          <cell r="A10" t="str">
            <v>Australia</v>
          </cell>
        </row>
      </sheetData>
      <sheetData sheetId="40">
        <row r="10">
          <cell r="A10" t="str">
            <v>Australia</v>
          </cell>
        </row>
      </sheetData>
      <sheetData sheetId="41">
        <row r="14">
          <cell r="M14">
            <v>4.2229755996350538E-2</v>
          </cell>
        </row>
      </sheetData>
      <sheetData sheetId="42"/>
      <sheetData sheetId="43"/>
      <sheetData sheetId="44"/>
      <sheetData sheetId="45"/>
      <sheetData sheetId="46"/>
      <sheetData sheetId="47">
        <row r="3">
          <cell r="B3" t="str">
            <v>Table E1: Capital intensity: Local vs. foreign-controlled firms (2015)</v>
          </cell>
        </row>
      </sheetData>
      <sheetData sheetId="48"/>
      <sheetData sheetId="49"/>
      <sheetData sheetId="50"/>
      <sheetData sheetId="51"/>
      <sheetData sheetId="52">
        <row r="44">
          <cell r="C44">
            <v>0.48011815410961156</v>
          </cell>
        </row>
      </sheetData>
      <sheetData sheetId="53"/>
      <sheetData sheetId="54"/>
      <sheetData sheetId="55">
        <row r="6">
          <cell r="C6">
            <v>3.3000000000000002E-2</v>
          </cell>
          <cell r="D6">
            <v>1.0425330907353418E-2</v>
          </cell>
        </row>
        <row r="7">
          <cell r="C7">
            <v>3.5000000000000003E-2</v>
          </cell>
          <cell r="D7">
            <v>1.1057169144162717E-2</v>
          </cell>
        </row>
        <row r="8">
          <cell r="C8">
            <v>5.8000000000000003E-2</v>
          </cell>
          <cell r="D8">
            <v>1.8323308867469645E-2</v>
          </cell>
        </row>
        <row r="9">
          <cell r="C9">
            <v>6.4000000000000001E-2</v>
          </cell>
          <cell r="D9">
            <v>2.0218823577897539E-2</v>
          </cell>
        </row>
        <row r="10">
          <cell r="C10">
            <v>0.111</v>
          </cell>
          <cell r="D10">
            <v>3.5067022142916043E-2</v>
          </cell>
        </row>
        <row r="11">
          <cell r="B11">
            <v>4.2017242747818324E-2</v>
          </cell>
          <cell r="C11">
            <v>0.13300000000000001</v>
          </cell>
          <cell r="D11">
            <v>4.2017242747818324E-2</v>
          </cell>
        </row>
        <row r="12">
          <cell r="B12">
            <v>5.4207827423913016E-2</v>
          </cell>
          <cell r="C12">
            <v>0.13100000000000001</v>
          </cell>
          <cell r="D12">
            <v>5.4207827423913016E-2</v>
          </cell>
        </row>
        <row r="13">
          <cell r="B13">
            <v>0.13052595912927956</v>
          </cell>
          <cell r="C13">
            <v>0.20399999999999999</v>
          </cell>
          <cell r="D13">
            <v>0.13052595912927956</v>
          </cell>
        </row>
        <row r="14">
          <cell r="B14">
            <v>0.16181784544476441</v>
          </cell>
          <cell r="C14">
            <v>0.223</v>
          </cell>
          <cell r="D14">
            <v>0.16181784544476441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T.A0"/>
      <sheetName val="T.A1"/>
      <sheetName val="T.A2"/>
      <sheetName val="T.A2b"/>
      <sheetName val="T.A3"/>
      <sheetName val="T.A4"/>
      <sheetName val=" T.A5"/>
      <sheetName val="T.A5b"/>
      <sheetName val="T.A5c"/>
      <sheetName val="T.A5d"/>
      <sheetName val=" T.A6"/>
      <sheetName val=" T.A7"/>
      <sheetName val=" T.A7b"/>
      <sheetName val=" T.A8"/>
      <sheetName val=" T.A9"/>
      <sheetName val="T.A10"/>
      <sheetName val="T.A11"/>
      <sheetName val="T.A11b"/>
      <sheetName val="T.A12"/>
      <sheetName val="T.A12b"/>
      <sheetName val="T.A13"/>
      <sheetName val="T.A14"/>
      <sheetName val="T.A15"/>
      <sheetName val="T.A16"/>
      <sheetName val="T.A17"/>
      <sheetName val="T.A18"/>
      <sheetName val="T.A19"/>
      <sheetName val="T.A19(slides)"/>
      <sheetName val="F.A0"/>
      <sheetName val="F.A1"/>
      <sheetName val="F.A1b"/>
      <sheetName val="F.A1c"/>
      <sheetName val="F.A1d"/>
      <sheetName val="F.A2"/>
      <sheetName val="F.A2b"/>
      <sheetName val="F.A2c"/>
      <sheetName val="F.A2d"/>
      <sheetName val="F.A2e"/>
      <sheetName val="F.A2f"/>
      <sheetName val="F.A3"/>
      <sheetName val="F.A3b"/>
      <sheetName val="F.A3c"/>
      <sheetName val="F.A3d"/>
      <sheetName val="F.A3e"/>
      <sheetName val="F.A3f"/>
      <sheetName val="F.A4"/>
      <sheetName val="F.A5"/>
      <sheetName val="F.A6"/>
      <sheetName val="F.A7"/>
      <sheetName val="F.A8"/>
      <sheetName val="F.A9"/>
      <sheetName val="F.A9b"/>
      <sheetName val="F.A10"/>
      <sheetName val="F.A11"/>
      <sheetName val="F.A11b"/>
      <sheetName val="F.A12"/>
      <sheetName val="F.A12b"/>
      <sheetName val="DataFA1bc"/>
      <sheetName val="DataFA8"/>
      <sheetName val="DataFA12"/>
      <sheetName val="Assets(BoP)"/>
      <sheetName val="Assets(MOFA)"/>
      <sheetName val="Liabilities"/>
      <sheetName val="AppendixA(US)"/>
      <sheetName val="AppendixB(CrossCountry)"/>
      <sheetName val="T.B1 "/>
      <sheetName val="T.B2"/>
      <sheetName val="T.B3"/>
      <sheetName val="T.B4a"/>
      <sheetName val="T.B4b"/>
      <sheetName val="T.B4c"/>
      <sheetName val="T.B5"/>
      <sheetName val="T.B6"/>
      <sheetName val="T.B7"/>
      <sheetName val="T.B8"/>
      <sheetName val="FB1a"/>
      <sheetName val="F.B1b"/>
      <sheetName val="F.B1c"/>
      <sheetName val="F.B2"/>
      <sheetName val="F.B2b"/>
      <sheetName val="F.B2c"/>
      <sheetName val="F.B2d"/>
      <sheetName val="F.B3"/>
      <sheetName val="F.B4"/>
      <sheetName val="NotesFB2"/>
      <sheetName val="NotesFB2b"/>
      <sheetName val="NotesFB2c"/>
      <sheetName val="DataFB2"/>
      <sheetName val="NotesFB3"/>
      <sheetName val="DataFB3"/>
      <sheetName val="DataFB1a"/>
      <sheetName val="DataFB1b"/>
      <sheetName val="DataFB1c"/>
      <sheetName val="RawData"/>
      <sheetName val="NIPA"/>
      <sheetName val="NIPA_1.12"/>
      <sheetName val="NIPA_1.14"/>
      <sheetName val="NIPA_7.16"/>
      <sheetName val="NIPA_4.1"/>
      <sheetName val="NIPA_Scorp"/>
      <sheetName val="MOFA"/>
      <sheetName val="MOFA_inc_ind09"/>
      <sheetName val="MOFA_inc97"/>
      <sheetName val="MOFA_inc09"/>
      <sheetName val="OECD_Comp10"/>
      <sheetName val="OECD_Comp86"/>
      <sheetName val="OECD_OS"/>
      <sheetName val="ITA-IIP"/>
      <sheetName val="ITA_1.1"/>
      <sheetName val="ITA_1(old)"/>
      <sheetName val="ITA_4.1"/>
      <sheetName val="ITA_4.2"/>
      <sheetName val="IIP_1.1"/>
      <sheetName val="IIP_1.2"/>
      <sheetName val="IIP_2.1"/>
      <sheetName val="USDIA"/>
      <sheetName val="USDIA_inc"/>
      <sheetName val="USDIA_inc_Ind"/>
      <sheetName val="USDIA_ret"/>
      <sheetName val="USDIA_flow"/>
      <sheetName val="USDIA_eqflow"/>
      <sheetName val="USDIA_debtflow"/>
      <sheetName val="USDIA_assets"/>
      <sheetName val="USDIA_assets99"/>
      <sheetName val="FDIUS"/>
      <sheetName val="FDIUS_inc"/>
      <sheetName val="FDIUS_debtflow"/>
      <sheetName val="FDIUS_Liab"/>
      <sheetName val="CrosCountry"/>
      <sheetName val="Ext returns comps"/>
      <sheetName val="BEA int transactions"/>
      <sheetName val="Changes in position data"/>
      <sheetName val="BOPS IIP raw"/>
      <sheetName val="outw share"/>
      <sheetName val="outw"/>
      <sheetName val="US DI position 170618"/>
      <sheetName val="US DI inc 170618"/>
      <sheetName val="misc"/>
      <sheetName val="OtherData"/>
      <sheetName val="FoF_RoW"/>
      <sheetName val="Fedtax"/>
      <sheetName val="ReconciliationIRS"/>
      <sheetName val="OldChartsFromZucmanJEP2014"/>
      <sheetName val="Chart4"/>
      <sheetName val="Chart5"/>
      <sheetName val="Chart5b"/>
      <sheetName val="Chart5c"/>
      <sheetName val="Char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22">
          <cell r="E22">
            <v>9.0252707581227443E-2</v>
          </cell>
        </row>
        <row r="23">
          <cell r="E23">
            <v>4.4313146233382568E-2</v>
          </cell>
        </row>
        <row r="24">
          <cell r="E24">
            <v>-3.8986354775828462E-3</v>
          </cell>
        </row>
        <row r="25">
          <cell r="E25">
            <v>-4.0816326530612249E-3</v>
          </cell>
        </row>
        <row r="26">
          <cell r="E26">
            <v>4.2881646655231566E-2</v>
          </cell>
        </row>
        <row r="27">
          <cell r="E27">
            <v>6.0240963855421679E-2</v>
          </cell>
        </row>
        <row r="28">
          <cell r="E28">
            <v>8.2446808510638292E-2</v>
          </cell>
        </row>
        <row r="29">
          <cell r="E29">
            <v>8.4826762246117071E-2</v>
          </cell>
        </row>
        <row r="30">
          <cell r="E30">
            <v>6.4850843060959798E-2</v>
          </cell>
        </row>
        <row r="31">
          <cell r="E31">
            <v>0.08</v>
          </cell>
        </row>
        <row r="32">
          <cell r="E32">
            <v>0.10807860262008735</v>
          </cell>
        </row>
        <row r="33">
          <cell r="E33">
            <v>0.13373083475298125</v>
          </cell>
        </row>
        <row r="34">
          <cell r="E34">
            <v>0.13648293963254593</v>
          </cell>
        </row>
        <row r="35">
          <cell r="E35">
            <v>0.13294180459156432</v>
          </cell>
        </row>
        <row r="36">
          <cell r="E36">
            <v>0.12437810945273632</v>
          </cell>
        </row>
        <row r="37">
          <cell r="E37">
            <v>0.10178748758689175</v>
          </cell>
        </row>
        <row r="38">
          <cell r="E38">
            <v>9.0322580645161285E-2</v>
          </cell>
        </row>
        <row r="39">
          <cell r="E39">
            <v>0.11050228310502283</v>
          </cell>
        </row>
        <row r="40">
          <cell r="E40">
            <v>0.1281109751121991</v>
          </cell>
        </row>
        <row r="41">
          <cell r="E41">
            <v>0.12125000000000001</v>
          </cell>
        </row>
        <row r="42">
          <cell r="E42">
            <v>0.1352059925093633</v>
          </cell>
        </row>
        <row r="43">
          <cell r="E43">
            <v>0.13376623376623378</v>
          </cell>
        </row>
        <row r="44">
          <cell r="E44">
            <v>0.12159264931087291</v>
          </cell>
        </row>
        <row r="45">
          <cell r="E45">
            <v>0.11701509872241579</v>
          </cell>
        </row>
        <row r="46">
          <cell r="E46">
            <v>0.11469221835075494</v>
          </cell>
        </row>
        <row r="47">
          <cell r="E47">
            <v>0.13294491525423729</v>
          </cell>
        </row>
        <row r="48">
          <cell r="E48">
            <v>0.12372162634073336</v>
          </cell>
        </row>
        <row r="49">
          <cell r="E49">
            <v>0.11707200762994756</v>
          </cell>
        </row>
        <row r="50">
          <cell r="E50">
            <v>0.10412713472485767</v>
          </cell>
        </row>
        <row r="51">
          <cell r="E51">
            <v>0.12075718015665796</v>
          </cell>
        </row>
        <row r="52">
          <cell r="E52">
            <v>0.11398207959991666</v>
          </cell>
        </row>
        <row r="53">
          <cell r="E53">
            <v>0.11242960579243765</v>
          </cell>
        </row>
        <row r="54">
          <cell r="E54">
            <v>0.11958146487294469</v>
          </cell>
        </row>
        <row r="55">
          <cell r="E55">
            <v>0.12442640310624779</v>
          </cell>
        </row>
        <row r="56">
          <cell r="E56">
            <v>0.12773302646720369</v>
          </cell>
        </row>
        <row r="57">
          <cell r="E57">
            <v>0.13524155686809028</v>
          </cell>
        </row>
        <row r="58">
          <cell r="E58">
            <v>0.13352785883006807</v>
          </cell>
        </row>
        <row r="59">
          <cell r="E59">
            <v>0.12352012628255722</v>
          </cell>
        </row>
        <row r="60">
          <cell r="E60">
            <v>0.12222088691263069</v>
          </cell>
        </row>
        <row r="61">
          <cell r="E61">
            <v>0.1093941078376876</v>
          </cell>
        </row>
        <row r="62">
          <cell r="E62">
            <v>9.1692373151792364E-2</v>
          </cell>
        </row>
        <row r="63">
          <cell r="E63">
            <v>9.8918387413962625E-2</v>
          </cell>
        </row>
        <row r="64">
          <cell r="E64">
            <v>0.10436331255565449</v>
          </cell>
        </row>
        <row r="65">
          <cell r="E65">
            <v>0.10612569610182976</v>
          </cell>
        </row>
        <row r="66">
          <cell r="E66">
            <v>9.305596683446847E-2</v>
          </cell>
        </row>
        <row r="67">
          <cell r="E67">
            <v>9.5720487905726695E-2</v>
          </cell>
        </row>
        <row r="68">
          <cell r="E68">
            <v>0.10793906366113451</v>
          </cell>
        </row>
        <row r="69">
          <cell r="E69">
            <v>0.11441596708734086</v>
          </cell>
        </row>
        <row r="70">
          <cell r="E70">
            <v>0.11754273609537415</v>
          </cell>
        </row>
        <row r="71">
          <cell r="E71">
            <v>0.11075527088337338</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Figures"/>
      <sheetName val="DataFA1"/>
      <sheetName val="FA1"/>
      <sheetName val="DataFA1b"/>
      <sheetName val="FA1b"/>
      <sheetName val="DataFA2"/>
      <sheetName val="FA2"/>
      <sheetName val="DataFA2b"/>
      <sheetName val="FA2b"/>
      <sheetName val="DataFA3"/>
      <sheetName val="FA3"/>
      <sheetName val="DataFA3b"/>
      <sheetName val="FA3b"/>
      <sheetName val="DataFA4"/>
      <sheetName val="FA4"/>
      <sheetName val="DataFA4b"/>
      <sheetName val="FA4b"/>
      <sheetName val="DataFA5"/>
      <sheetName val="FA5"/>
      <sheetName val="DataFA6"/>
      <sheetName val="FA6"/>
      <sheetName val="DataFA7"/>
      <sheetName val="FA7"/>
      <sheetName val="DataFA8"/>
      <sheetName val="FA8"/>
      <sheetName val="DataFA8b"/>
      <sheetName val="FA8b"/>
      <sheetName val="DataFA9"/>
      <sheetName val="FA9"/>
      <sheetName val="DataF10"/>
      <sheetName val="FA10"/>
      <sheetName val="DataFA11"/>
      <sheetName val="FA11"/>
      <sheetName val="FA11b"/>
      <sheetName val="FA11c"/>
      <sheetName val="DataFA11c"/>
      <sheetName val="DataFA12"/>
      <sheetName val="FA12"/>
      <sheetName val="DataFA12b"/>
      <sheetName val="FA12b"/>
      <sheetName val="DataF13"/>
      <sheetName val="FA13a"/>
      <sheetName val="FA13b"/>
      <sheetName val="DataFA14"/>
      <sheetName val="FA14"/>
      <sheetName val="DataFA15"/>
      <sheetName val="FA15"/>
      <sheetName val="DataFB1"/>
      <sheetName val="FB1"/>
      <sheetName val="FB1(slides)"/>
      <sheetName val="DataFB2"/>
      <sheetName val="FB2"/>
      <sheetName val="DataFB3"/>
      <sheetName val="FB3"/>
      <sheetName val="FB3(print)"/>
      <sheetName val="FB3b"/>
      <sheetName val="FB3b (print)"/>
      <sheetName val="DataFB4"/>
      <sheetName val="FB4"/>
      <sheetName val="FB4 (print)"/>
      <sheetName val="DataFC1"/>
      <sheetName val="FC1"/>
      <sheetName val="DataFC2"/>
      <sheetName val="FC2"/>
      <sheetName val="DataFC3"/>
      <sheetName val="FC3"/>
      <sheetName val="FC3b"/>
      <sheetName val="DataFC4"/>
      <sheetName val="FC4"/>
      <sheetName val="DataFD1"/>
      <sheetName val="FD1"/>
      <sheetName val="FD1b"/>
      <sheetName val="FD1c"/>
      <sheetName val="FD1d"/>
      <sheetName val="FD2"/>
      <sheetName val="FD2 (Print)"/>
      <sheetName val="DataFE1"/>
      <sheetName val="FE1"/>
      <sheetName val="Data FE3"/>
      <sheetName val="FE3 "/>
      <sheetName val="DataFE4"/>
      <sheetName val="FE4"/>
      <sheetName val="Data FF1"/>
      <sheetName val="FF1"/>
      <sheetName val="Data FG1-2"/>
      <sheetName val="FG1"/>
      <sheetName val="FG2"/>
      <sheetName val="Data FH1-3"/>
      <sheetName val="FH1"/>
      <sheetName val="FH2"/>
      <sheetName val="FH3"/>
      <sheetName val="Data FI1"/>
      <sheetName val="FI1"/>
      <sheetName val="Data FI2-3"/>
      <sheetName val="FI2"/>
      <sheetName val="FI3"/>
      <sheetName val="Data  FK1-2"/>
      <sheetName val="FK1"/>
      <sheetName val="FK1b"/>
      <sheetName val="FK2"/>
      <sheetName val="DataFN1"/>
      <sheetName val="FN1"/>
      <sheetName val="DataFN2"/>
      <sheetName val="FN2"/>
      <sheetName val="DataFN3"/>
      <sheetName val="FN3a"/>
      <sheetName val="FN3b"/>
    </sheetNames>
    <sheetDataSet>
      <sheetData sheetId="0"/>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refreshError="1"/>
      <sheetData sheetId="33" refreshError="1"/>
      <sheetData sheetId="34" refreshError="1"/>
      <sheetData sheetId="35"/>
      <sheetData sheetId="36"/>
      <sheetData sheetId="37" refreshError="1"/>
      <sheetData sheetId="38"/>
      <sheetData sheetId="39" refreshError="1"/>
      <sheetData sheetId="40"/>
      <sheetData sheetId="41" refreshError="1"/>
      <sheetData sheetId="42" refreshError="1"/>
      <sheetData sheetId="43"/>
      <sheetData sheetId="44" refreshError="1"/>
      <sheetData sheetId="45"/>
      <sheetData sheetId="46" refreshError="1"/>
      <sheetData sheetId="47"/>
      <sheetData sheetId="48" refreshError="1"/>
      <sheetData sheetId="49" refreshError="1"/>
      <sheetData sheetId="50"/>
      <sheetData sheetId="51" refreshError="1"/>
      <sheetData sheetId="52"/>
      <sheetData sheetId="53" refreshError="1"/>
      <sheetData sheetId="54"/>
      <sheetData sheetId="55" refreshError="1"/>
      <sheetData sheetId="56"/>
      <sheetData sheetId="57"/>
      <sheetData sheetId="58" refreshError="1"/>
      <sheetData sheetId="59"/>
      <sheetData sheetId="60"/>
      <sheetData sheetId="61" refreshError="1"/>
      <sheetData sheetId="62"/>
      <sheetData sheetId="63" refreshError="1"/>
      <sheetData sheetId="64"/>
      <sheetData sheetId="65" refreshError="1"/>
      <sheetData sheetId="66" refreshError="1"/>
      <sheetData sheetId="67"/>
      <sheetData sheetId="68" refreshError="1"/>
      <sheetData sheetId="69"/>
      <sheetData sheetId="70" refreshError="1"/>
      <sheetData sheetId="71" refreshError="1"/>
      <sheetData sheetId="72" refreshError="1"/>
      <sheetData sheetId="73" refreshError="1"/>
      <sheetData sheetId="74" refreshError="1"/>
      <sheetData sheetId="75"/>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refreshError="1"/>
      <sheetData sheetId="87"/>
      <sheetData sheetId="88" refreshError="1"/>
      <sheetData sheetId="89" refreshError="1"/>
      <sheetData sheetId="90" refreshError="1"/>
      <sheetData sheetId="91"/>
      <sheetData sheetId="92" refreshError="1"/>
      <sheetData sheetId="93"/>
      <sheetData sheetId="94" refreshError="1"/>
      <sheetData sheetId="95" refreshError="1"/>
      <sheetData sheetId="96"/>
      <sheetData sheetId="97" refreshError="1"/>
      <sheetData sheetId="98" refreshError="1"/>
      <sheetData sheetId="99" refreshError="1"/>
      <sheetData sheetId="100"/>
      <sheetData sheetId="101" refreshError="1"/>
      <sheetData sheetId="102"/>
      <sheetData sheetId="103" refreshError="1"/>
      <sheetData sheetId="104"/>
      <sheetData sheetId="105" refreshError="1"/>
      <sheetData sheetId="10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row>
      </sheetData>
      <sheetData sheetId="15">
        <row r="1">
          <cell r="B1" t="str">
            <v>Agriculture, forestry and fishing (A) ;  Agriculture ;</v>
          </cell>
        </row>
        <row r="12">
          <cell r="DF12">
            <v>1.1000000000000001</v>
          </cell>
        </row>
        <row r="13">
          <cell r="DF13">
            <v>1.3</v>
          </cell>
        </row>
        <row r="14">
          <cell r="DF14">
            <v>1.3</v>
          </cell>
        </row>
        <row r="15">
          <cell r="DF15">
            <v>0.9</v>
          </cell>
        </row>
        <row r="16">
          <cell r="DF16">
            <v>0.2</v>
          </cell>
        </row>
        <row r="17">
          <cell r="DF17">
            <v>-0.5</v>
          </cell>
        </row>
        <row r="18">
          <cell r="DF18">
            <v>-0.7</v>
          </cell>
        </row>
        <row r="19">
          <cell r="DF19">
            <v>-0.2</v>
          </cell>
        </row>
        <row r="20">
          <cell r="DF20">
            <v>1.1000000000000001</v>
          </cell>
        </row>
        <row r="21">
          <cell r="DF21">
            <v>2</v>
          </cell>
        </row>
        <row r="22">
          <cell r="DF22">
            <v>1.9</v>
          </cell>
        </row>
        <row r="23">
          <cell r="DF23">
            <v>1.7</v>
          </cell>
        </row>
        <row r="24">
          <cell r="DF24">
            <v>1.3</v>
          </cell>
        </row>
        <row r="25">
          <cell r="DF25">
            <v>1.1000000000000001</v>
          </cell>
        </row>
        <row r="26">
          <cell r="DF26">
            <v>1.5</v>
          </cell>
        </row>
        <row r="27">
          <cell r="DF27">
            <v>1.8</v>
          </cell>
        </row>
        <row r="28">
          <cell r="DF28">
            <v>1.9</v>
          </cell>
        </row>
        <row r="29">
          <cell r="DF29">
            <v>1.5</v>
          </cell>
        </row>
        <row r="30">
          <cell r="DF30">
            <v>1.2</v>
          </cell>
        </row>
        <row r="31">
          <cell r="DF31">
            <v>1.6</v>
          </cell>
        </row>
        <row r="32">
          <cell r="DF32">
            <v>1.9</v>
          </cell>
        </row>
        <row r="33">
          <cell r="DF33">
            <v>1.5</v>
          </cell>
        </row>
        <row r="34">
          <cell r="DF34">
            <v>1</v>
          </cell>
        </row>
        <row r="35">
          <cell r="DF35">
            <v>0.2</v>
          </cell>
        </row>
        <row r="36">
          <cell r="DF36">
            <v>-0.1</v>
          </cell>
        </row>
        <row r="37">
          <cell r="DF37">
            <v>0.4</v>
          </cell>
        </row>
        <row r="38">
          <cell r="DF38">
            <v>1.1000000000000001</v>
          </cell>
        </row>
        <row r="39">
          <cell r="DF39">
            <v>2</v>
          </cell>
        </row>
        <row r="40">
          <cell r="DF40">
            <v>2.2000000000000002</v>
          </cell>
        </row>
        <row r="41">
          <cell r="DF41">
            <v>1.9</v>
          </cell>
        </row>
        <row r="42">
          <cell r="DF42">
            <v>1.6</v>
          </cell>
        </row>
        <row r="43">
          <cell r="DF43">
            <v>0.9</v>
          </cell>
        </row>
        <row r="44">
          <cell r="DF44">
            <v>0.6</v>
          </cell>
        </row>
        <row r="45">
          <cell r="DF45">
            <v>1</v>
          </cell>
        </row>
        <row r="46">
          <cell r="DF46">
            <v>1.9</v>
          </cell>
        </row>
        <row r="47">
          <cell r="DF47">
            <v>2.5</v>
          </cell>
        </row>
        <row r="48">
          <cell r="DF48">
            <v>2</v>
          </cell>
        </row>
        <row r="49">
          <cell r="DF49">
            <v>1.2</v>
          </cell>
        </row>
        <row r="50">
          <cell r="DF50">
            <v>1.3</v>
          </cell>
        </row>
        <row r="51">
          <cell r="DF51">
            <v>1.7</v>
          </cell>
        </row>
        <row r="52">
          <cell r="DF52">
            <v>2.2999999999999998</v>
          </cell>
        </row>
        <row r="53">
          <cell r="DF53">
            <v>1.9</v>
          </cell>
        </row>
        <row r="54">
          <cell r="DF54">
            <v>1.4</v>
          </cell>
        </row>
        <row r="55">
          <cell r="DF55">
            <v>0.9</v>
          </cell>
        </row>
        <row r="56">
          <cell r="DF56">
            <v>0.4</v>
          </cell>
        </row>
        <row r="57">
          <cell r="DF57">
            <v>0.7</v>
          </cell>
        </row>
        <row r="58">
          <cell r="DF58">
            <v>1.3</v>
          </cell>
        </row>
        <row r="59">
          <cell r="DF59">
            <v>1.1000000000000001</v>
          </cell>
        </row>
        <row r="60">
          <cell r="DF60">
            <v>0.8</v>
          </cell>
        </row>
        <row r="61">
          <cell r="DF61">
            <v>0.2</v>
          </cell>
        </row>
        <row r="62">
          <cell r="DF62">
            <v>0.1</v>
          </cell>
        </row>
        <row r="63">
          <cell r="DF63">
            <v>0.8</v>
          </cell>
        </row>
        <row r="64">
          <cell r="DF64">
            <v>1.2</v>
          </cell>
        </row>
        <row r="65">
          <cell r="DF65">
            <v>1.2</v>
          </cell>
        </row>
        <row r="66">
          <cell r="DF66">
            <v>1.4</v>
          </cell>
        </row>
        <row r="67">
          <cell r="DF67">
            <v>1.4</v>
          </cell>
        </row>
        <row r="68">
          <cell r="DF68">
            <v>1</v>
          </cell>
        </row>
        <row r="69">
          <cell r="DF69">
            <v>0.3</v>
          </cell>
        </row>
        <row r="70">
          <cell r="DF70">
            <v>-0.4</v>
          </cell>
        </row>
        <row r="71">
          <cell r="DF71">
            <v>-0.4</v>
          </cell>
        </row>
        <row r="72">
          <cell r="DF72">
            <v>0.6</v>
          </cell>
        </row>
        <row r="73">
          <cell r="DF73">
            <v>1.3</v>
          </cell>
        </row>
        <row r="74">
          <cell r="DF74">
            <v>0.6</v>
          </cell>
        </row>
        <row r="75">
          <cell r="DF75">
            <v>0.2</v>
          </cell>
        </row>
        <row r="76">
          <cell r="DF76">
            <v>0.5</v>
          </cell>
        </row>
        <row r="77">
          <cell r="DF77">
            <v>1.2</v>
          </cell>
        </row>
        <row r="78">
          <cell r="DF78">
            <v>1.7</v>
          </cell>
        </row>
        <row r="79">
          <cell r="DF79">
            <v>0.9</v>
          </cell>
        </row>
        <row r="80">
          <cell r="DF80">
            <v>0.3</v>
          </cell>
        </row>
        <row r="81">
          <cell r="DF81">
            <v>0.4</v>
          </cell>
        </row>
        <row r="82">
          <cell r="DF82">
            <v>0.2</v>
          </cell>
        </row>
        <row r="83">
          <cell r="DF83">
            <v>0</v>
          </cell>
        </row>
        <row r="84">
          <cell r="DF84">
            <v>0</v>
          </cell>
        </row>
        <row r="85">
          <cell r="DF85">
            <v>0.4</v>
          </cell>
        </row>
        <row r="86">
          <cell r="DF86">
            <v>0.9</v>
          </cell>
        </row>
        <row r="87">
          <cell r="DF87">
            <v>1.4</v>
          </cell>
        </row>
        <row r="88">
          <cell r="DF88">
            <v>1.4</v>
          </cell>
        </row>
        <row r="89">
          <cell r="DF89">
            <v>0.9</v>
          </cell>
        </row>
        <row r="90">
          <cell r="DF90">
            <v>0.5</v>
          </cell>
        </row>
        <row r="91">
          <cell r="DF91">
            <v>0.6</v>
          </cell>
        </row>
        <row r="92">
          <cell r="DF92">
            <v>0.9</v>
          </cell>
        </row>
        <row r="93">
          <cell r="DF93">
            <v>0.9</v>
          </cell>
        </row>
        <row r="94">
          <cell r="DF94">
            <v>0.5</v>
          </cell>
        </row>
        <row r="95">
          <cell r="DF95">
            <v>0.7</v>
          </cell>
        </row>
        <row r="96">
          <cell r="DF96">
            <v>0.9</v>
          </cell>
        </row>
        <row r="97">
          <cell r="DF97">
            <v>1.3</v>
          </cell>
        </row>
        <row r="98">
          <cell r="DF98">
            <v>1.4</v>
          </cell>
        </row>
        <row r="99">
          <cell r="DF99">
            <v>1</v>
          </cell>
        </row>
        <row r="100">
          <cell r="DF100">
            <v>0.3</v>
          </cell>
        </row>
        <row r="101">
          <cell r="DF101">
            <v>-0.1</v>
          </cell>
        </row>
        <row r="102">
          <cell r="DF102">
            <v>-0.2</v>
          </cell>
        </row>
        <row r="103">
          <cell r="DF103">
            <v>-0.5</v>
          </cell>
        </row>
        <row r="104">
          <cell r="DF104">
            <v>-1.2</v>
          </cell>
        </row>
        <row r="105">
          <cell r="DF105">
            <v>-1</v>
          </cell>
        </row>
        <row r="106">
          <cell r="DF106">
            <v>0.3</v>
          </cell>
        </row>
        <row r="107">
          <cell r="DF107">
            <v>1.7</v>
          </cell>
        </row>
        <row r="108">
          <cell r="DF108">
            <v>2.2999999999999998</v>
          </cell>
        </row>
        <row r="109">
          <cell r="DF109">
            <v>2</v>
          </cell>
        </row>
        <row r="110">
          <cell r="DF110">
            <v>1.4</v>
          </cell>
        </row>
        <row r="111">
          <cell r="DF111">
            <v>0.9</v>
          </cell>
        </row>
        <row r="112">
          <cell r="DF112">
            <v>0.9</v>
          </cell>
        </row>
        <row r="113">
          <cell r="DF113">
            <v>1.5</v>
          </cell>
        </row>
        <row r="114">
          <cell r="DF114">
            <v>1.7</v>
          </cell>
        </row>
        <row r="115">
          <cell r="DF115">
            <v>1.3</v>
          </cell>
        </row>
        <row r="116">
          <cell r="DF116">
            <v>0.5</v>
          </cell>
        </row>
        <row r="117">
          <cell r="DF117">
            <v>0</v>
          </cell>
        </row>
        <row r="118">
          <cell r="DF118">
            <v>0.1</v>
          </cell>
        </row>
        <row r="119">
          <cell r="DF119">
            <v>0.6</v>
          </cell>
        </row>
        <row r="120">
          <cell r="DF120">
            <v>1</v>
          </cell>
        </row>
        <row r="121">
          <cell r="DF121">
            <v>1.4</v>
          </cell>
        </row>
        <row r="122">
          <cell r="DF122">
            <v>1.6</v>
          </cell>
        </row>
        <row r="123">
          <cell r="DF123">
            <v>1.8</v>
          </cell>
        </row>
        <row r="124">
          <cell r="DF124">
            <v>1.5</v>
          </cell>
        </row>
        <row r="125">
          <cell r="DF125">
            <v>0.8</v>
          </cell>
        </row>
        <row r="126">
          <cell r="DF126">
            <v>0.4</v>
          </cell>
        </row>
        <row r="127">
          <cell r="DF127">
            <v>0.7</v>
          </cell>
        </row>
        <row r="128">
          <cell r="DF128">
            <v>1.2</v>
          </cell>
        </row>
        <row r="129">
          <cell r="DF129">
            <v>1.6</v>
          </cell>
        </row>
        <row r="130">
          <cell r="DF130">
            <v>1.4</v>
          </cell>
        </row>
        <row r="131">
          <cell r="DF131">
            <v>0.9</v>
          </cell>
        </row>
        <row r="132">
          <cell r="DF132">
            <v>0.5</v>
          </cell>
        </row>
        <row r="133">
          <cell r="DF133">
            <v>0.2</v>
          </cell>
        </row>
        <row r="134">
          <cell r="DF134">
            <v>0.2</v>
          </cell>
        </row>
        <row r="135">
          <cell r="DF135">
            <v>0</v>
          </cell>
        </row>
        <row r="136">
          <cell r="DF136">
            <v>-0.4</v>
          </cell>
        </row>
        <row r="137">
          <cell r="DF137">
            <v>-0.4</v>
          </cell>
        </row>
        <row r="138">
          <cell r="DF138">
            <v>-0.3</v>
          </cell>
        </row>
        <row r="139">
          <cell r="DF139">
            <v>0.1</v>
          </cell>
        </row>
        <row r="140">
          <cell r="DF140">
            <v>0.4</v>
          </cell>
        </row>
        <row r="141">
          <cell r="DF141">
            <v>0.5</v>
          </cell>
        </row>
        <row r="142">
          <cell r="DF142">
            <v>0.9</v>
          </cell>
        </row>
        <row r="143">
          <cell r="DF143">
            <v>1.3</v>
          </cell>
        </row>
        <row r="144">
          <cell r="DF144">
            <v>1.4</v>
          </cell>
        </row>
        <row r="145">
          <cell r="DF145">
            <v>1</v>
          </cell>
        </row>
        <row r="146">
          <cell r="DF146">
            <v>0.5</v>
          </cell>
        </row>
        <row r="147">
          <cell r="DF147">
            <v>0.7</v>
          </cell>
        </row>
        <row r="148">
          <cell r="DF148">
            <v>1.3</v>
          </cell>
        </row>
        <row r="149">
          <cell r="DF149">
            <v>1.6</v>
          </cell>
        </row>
        <row r="150">
          <cell r="DF150">
            <v>1.4</v>
          </cell>
        </row>
        <row r="151">
          <cell r="DF151">
            <v>0.9</v>
          </cell>
        </row>
        <row r="152">
          <cell r="DF152">
            <v>0.5</v>
          </cell>
        </row>
        <row r="153">
          <cell r="DF153">
            <v>0.5</v>
          </cell>
        </row>
        <row r="154">
          <cell r="DF154">
            <v>0.7</v>
          </cell>
        </row>
        <row r="155">
          <cell r="DF155">
            <v>1.1000000000000001</v>
          </cell>
        </row>
        <row r="156">
          <cell r="DF156">
            <v>1.2</v>
          </cell>
        </row>
        <row r="157">
          <cell r="DF157">
            <v>1</v>
          </cell>
        </row>
        <row r="158">
          <cell r="DF158">
            <v>0.9</v>
          </cell>
        </row>
        <row r="159">
          <cell r="DF159">
            <v>0.8</v>
          </cell>
        </row>
        <row r="160">
          <cell r="DF160">
            <v>0.9</v>
          </cell>
        </row>
        <row r="161">
          <cell r="DF161">
            <v>1.3</v>
          </cell>
        </row>
        <row r="162">
          <cell r="DF162">
            <v>1.5</v>
          </cell>
        </row>
        <row r="163">
          <cell r="DF163">
            <v>1.3</v>
          </cell>
        </row>
        <row r="164">
          <cell r="DF164">
            <v>0.9</v>
          </cell>
        </row>
        <row r="165">
          <cell r="DF165">
            <v>0.9</v>
          </cell>
        </row>
        <row r="166">
          <cell r="DF166">
            <v>1.3</v>
          </cell>
        </row>
        <row r="167">
          <cell r="DF167">
            <v>1.5</v>
          </cell>
        </row>
        <row r="168">
          <cell r="DF168">
            <v>1.3</v>
          </cell>
        </row>
        <row r="169">
          <cell r="DF169">
            <v>0.9</v>
          </cell>
        </row>
        <row r="170">
          <cell r="DF170">
            <v>0.8</v>
          </cell>
        </row>
        <row r="171">
          <cell r="DF171">
            <v>1</v>
          </cell>
        </row>
        <row r="172">
          <cell r="DF172">
            <v>1.2</v>
          </cell>
        </row>
        <row r="173">
          <cell r="DF173">
            <v>1</v>
          </cell>
        </row>
        <row r="174">
          <cell r="DF174">
            <v>0.5</v>
          </cell>
        </row>
        <row r="175">
          <cell r="DF175">
            <v>0.2</v>
          </cell>
        </row>
        <row r="176">
          <cell r="DF176">
            <v>0.2</v>
          </cell>
        </row>
        <row r="177">
          <cell r="DF177">
            <v>0.5</v>
          </cell>
        </row>
        <row r="178">
          <cell r="DF178">
            <v>1</v>
          </cell>
        </row>
        <row r="179">
          <cell r="DF179">
            <v>1.1000000000000001</v>
          </cell>
        </row>
        <row r="180">
          <cell r="DF180">
            <v>1.1000000000000001</v>
          </cell>
        </row>
        <row r="181">
          <cell r="DF181">
            <v>1.2</v>
          </cell>
        </row>
        <row r="182">
          <cell r="DF182">
            <v>1.1000000000000001</v>
          </cell>
        </row>
        <row r="183">
          <cell r="DF183">
            <v>0.8</v>
          </cell>
        </row>
        <row r="184">
          <cell r="DF184">
            <v>0.4</v>
          </cell>
        </row>
        <row r="185">
          <cell r="DF185">
            <v>0.2</v>
          </cell>
        </row>
        <row r="186">
          <cell r="DF186">
            <v>0.7</v>
          </cell>
        </row>
        <row r="187">
          <cell r="DF187">
            <v>1.2</v>
          </cell>
        </row>
        <row r="188">
          <cell r="DF188">
            <v>1.5</v>
          </cell>
        </row>
        <row r="189">
          <cell r="DF189">
            <v>1.2</v>
          </cell>
        </row>
        <row r="190">
          <cell r="DF190">
            <v>0.8</v>
          </cell>
        </row>
        <row r="191">
          <cell r="DF191">
            <v>0.7</v>
          </cell>
        </row>
        <row r="192">
          <cell r="DF192">
            <v>0.7</v>
          </cell>
        </row>
        <row r="193">
          <cell r="DF193">
            <v>0.7</v>
          </cell>
        </row>
        <row r="194">
          <cell r="DF194">
            <v>0.8</v>
          </cell>
        </row>
        <row r="195">
          <cell r="DF195">
            <v>0.8</v>
          </cell>
        </row>
        <row r="196">
          <cell r="DF196">
            <v>0.7</v>
          </cell>
        </row>
        <row r="197">
          <cell r="DF197">
            <v>0.5</v>
          </cell>
        </row>
        <row r="198">
          <cell r="DF198">
            <v>0.6</v>
          </cell>
        </row>
        <row r="199">
          <cell r="DF199">
            <v>1</v>
          </cell>
        </row>
        <row r="200">
          <cell r="DF200">
            <v>1.3</v>
          </cell>
        </row>
        <row r="201">
          <cell r="DF201">
            <v>1.2</v>
          </cell>
        </row>
        <row r="202">
          <cell r="DF202">
            <v>1</v>
          </cell>
        </row>
        <row r="203">
          <cell r="DF203">
            <v>0.9</v>
          </cell>
        </row>
        <row r="204">
          <cell r="DF204">
            <v>0.8</v>
          </cell>
        </row>
        <row r="205">
          <cell r="DF205">
            <v>0.8</v>
          </cell>
        </row>
        <row r="206">
          <cell r="DF206">
            <v>0.5</v>
          </cell>
        </row>
        <row r="207">
          <cell r="DF207">
            <v>0.3</v>
          </cell>
        </row>
        <row r="208">
          <cell r="DF208">
            <v>0.3</v>
          </cell>
        </row>
        <row r="209">
          <cell r="DF209">
            <v>0.5</v>
          </cell>
        </row>
        <row r="210">
          <cell r="DF210">
            <v>0.6</v>
          </cell>
        </row>
        <row r="211">
          <cell r="DF211">
            <v>0.6</v>
          </cell>
        </row>
        <row r="212">
          <cell r="DF212">
            <v>0.5</v>
          </cell>
        </row>
        <row r="213">
          <cell r="DF213">
            <v>0.6</v>
          </cell>
        </row>
        <row r="214">
          <cell r="DF214">
            <v>0.7</v>
          </cell>
        </row>
        <row r="215">
          <cell r="DF215">
            <v>0.7</v>
          </cell>
        </row>
        <row r="216">
          <cell r="DF216">
            <v>0.5</v>
          </cell>
        </row>
        <row r="217">
          <cell r="DF217">
            <v>0.5</v>
          </cell>
        </row>
        <row r="218">
          <cell r="DF218">
            <v>0.8</v>
          </cell>
        </row>
        <row r="219">
          <cell r="DF219">
            <v>1.1000000000000001</v>
          </cell>
        </row>
        <row r="220">
          <cell r="DF220">
            <v>1.3</v>
          </cell>
        </row>
        <row r="221">
          <cell r="DF221">
            <v>1</v>
          </cell>
        </row>
        <row r="222">
          <cell r="DF222">
            <v>0.8</v>
          </cell>
        </row>
        <row r="223">
          <cell r="DF223">
            <v>0.6</v>
          </cell>
        </row>
        <row r="224">
          <cell r="DF224">
            <v>0.4</v>
          </cell>
        </row>
        <row r="225">
          <cell r="DF225">
            <v>0.4</v>
          </cell>
        </row>
        <row r="226">
          <cell r="DF226">
            <v>0.5</v>
          </cell>
        </row>
        <row r="227">
          <cell r="DF227">
            <v>0.7</v>
          </cell>
        </row>
        <row r="228">
          <cell r="DF228">
            <v>0.8</v>
          </cell>
        </row>
        <row r="229">
          <cell r="DF229">
            <v>0.7</v>
          </cell>
        </row>
        <row r="230">
          <cell r="DF230">
            <v>0.6</v>
          </cell>
        </row>
        <row r="231">
          <cell r="DF231">
            <v>0.5</v>
          </cell>
        </row>
        <row r="232">
          <cell r="DF232">
            <v>0.6</v>
          </cell>
        </row>
        <row r="233">
          <cell r="DF233">
            <v>0.6</v>
          </cell>
        </row>
        <row r="234">
          <cell r="DF234">
            <v>0.6</v>
          </cell>
        </row>
        <row r="235">
          <cell r="DF235">
            <v>0.6</v>
          </cell>
        </row>
        <row r="236">
          <cell r="DF236">
            <v>0.8</v>
          </cell>
        </row>
        <row r="237">
          <cell r="DF237">
            <v>0.8</v>
          </cell>
        </row>
        <row r="238">
          <cell r="DF238">
            <v>0.6</v>
          </cell>
        </row>
        <row r="239">
          <cell r="DF239">
            <v>0.4</v>
          </cell>
        </row>
        <row r="240">
          <cell r="DF240">
            <v>0.4</v>
          </cell>
        </row>
        <row r="241">
          <cell r="DF241">
            <v>0.6</v>
          </cell>
        </row>
        <row r="242">
          <cell r="DF242">
            <v>0.7</v>
          </cell>
        </row>
        <row r="243">
          <cell r="DF243">
            <v>0.6</v>
          </cell>
        </row>
        <row r="244">
          <cell r="DF244">
            <v>0.6</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MF stata output&gt;&gt;&gt;"/>
      <sheetName val="fdiinterest_net"/>
      <sheetName val="fdiinterest_net (2)"/>
      <sheetName val="IMF_fdi_credit_debitinc"/>
      <sheetName val="OECD stata output&gt;&gt;&gt;"/>
      <sheetName val="totaldisc_DO_less_DI"/>
      <sheetName val="totaldisc_DI_less_DO"/>
      <sheetName val="OECD_DO_INCOME"/>
      <sheetName val="OECD_DI_INCOME"/>
      <sheetName val="OECD_COUNTERDO_INCOME"/>
      <sheetName val="OECD_COUNTERDI_INCOME"/>
      <sheetName val="ROU_E_2018"/>
      <sheetName val="OECDimp"/>
      <sheetName val="UNdata&gt;&gt;&gt;"/>
      <sheetName val="GDPgrowth"/>
      <sheetName val="highriskexports"/>
      <sheetName val="globaltaxrev"/>
      <sheetName val="Eurostat stata output&gt;&gt;&gt;"/>
      <sheetName val="Disc_EXTEU_DI_less_DO"/>
      <sheetName val="Disc_nonEUcountries"/>
      <sheetName val="Disc_EXTEU_DO_less_DI"/>
      <sheetName val="Disc_EU_DI_less_DO"/>
      <sheetName val="Disc_EU_DO_less_DI"/>
      <sheetName val="OECD raw online downloads&gt;&gt;&gt;"/>
      <sheetName val="OECD.Stat export"/>
      <sheetName val="OECD.Stat export (FOR NEXT YEAR"/>
      <sheetName val="OECD.FDI interest"/>
      <sheetName val="SPE FDI income"/>
      <sheetName val="US BEA online downloads &gt;&gt;&gt;"/>
      <sheetName val="CBC- IRS"/>
      <sheetName val="Table II.F 1"/>
      <sheetName val="US FATS"/>
      <sheetName val="Misc. downloads&gt;&gt;&gt;"/>
      <sheetName val="Regions"/>
      <sheetName val="Eurostat personel cost"/>
      <sheetName val="Puerto Rico"/>
      <sheetName val="India"/>
      <sheetName val="Singapore"/>
      <sheetName val="Trade data&gt;&gt;&gt;"/>
      <sheetName val="Global high risk exports"/>
      <sheetName val="Global high risk imports"/>
      <sheetName val="Swiss service exports"/>
      <sheetName val="Swiss pivot"/>
      <sheetName val="Puerto Rico exports by category"/>
      <sheetName val="Puerto Rico trade balance"/>
      <sheetName val="TaxHavenTrade"/>
      <sheetName val="Non-EU tax havens"/>
      <sheetName val="Tax havens exports"/>
      <sheetName val="Breakdown EU havens"/>
      <sheetName val="Breakdown non-EU havens"/>
      <sheetName val="Non EU income shifted to EU"/>
      <sheetName val="Interest shifted to EU"/>
      <sheetName val="US BEA IMPORTS"/>
      <sheetName val="Data C 2,4"/>
      <sheetName val="CDIS Table-4"/>
      <sheetName val="TWZ2018 select tables (2015)&gt;&gt;&gt;"/>
      <sheetName val="Table U2"/>
      <sheetName val="TableA1"/>
      <sheetName val="TableA2"/>
      <sheetName val="TableA3"/>
      <sheetName val="TableA4"/>
      <sheetName val="TableA5"/>
      <sheetName val="TableA6"/>
      <sheetName val="TableA7"/>
    </sheetNames>
    <sheetDataSet>
      <sheetData sheetId="0" refreshError="1"/>
      <sheetData sheetId="1" refreshError="1"/>
      <sheetData sheetId="2">
        <row r="1">
          <cell r="A1" t="str">
            <v>ISO 3166 alpha-3 code</v>
          </cell>
          <cell r="B1" t="str">
            <v>Sum</v>
          </cell>
        </row>
        <row r="2">
          <cell r="B2" t="str">
            <v>DI interest Net</v>
          </cell>
        </row>
        <row r="3">
          <cell r="A3" t="str">
            <v>ABW</v>
          </cell>
          <cell r="B3">
            <v>0</v>
          </cell>
        </row>
        <row r="4">
          <cell r="A4" t="str">
            <v>AFG</v>
          </cell>
          <cell r="B4">
            <v>0</v>
          </cell>
        </row>
        <row r="5">
          <cell r="A5" t="str">
            <v>AGO</v>
          </cell>
          <cell r="B5">
            <v>0</v>
          </cell>
        </row>
        <row r="6">
          <cell r="A6" t="str">
            <v>AIA</v>
          </cell>
          <cell r="B6">
            <v>0</v>
          </cell>
        </row>
        <row r="7">
          <cell r="A7" t="str">
            <v>ALB</v>
          </cell>
          <cell r="B7">
            <v>-3698914.4485900002</v>
          </cell>
        </row>
        <row r="8">
          <cell r="A8" t="str">
            <v>ARG</v>
          </cell>
          <cell r="B8">
            <v>-583326000</v>
          </cell>
        </row>
        <row r="9">
          <cell r="A9" t="str">
            <v>ARM</v>
          </cell>
          <cell r="B9">
            <v>-44196000</v>
          </cell>
        </row>
        <row r="10">
          <cell r="A10" t="str">
            <v>ATG</v>
          </cell>
          <cell r="B10">
            <v>0</v>
          </cell>
        </row>
        <row r="11">
          <cell r="A11" t="str">
            <v>AUS</v>
          </cell>
          <cell r="B11">
            <v>0</v>
          </cell>
        </row>
        <row r="12">
          <cell r="A12" t="str">
            <v>AUT</v>
          </cell>
          <cell r="B12">
            <v>444119000</v>
          </cell>
        </row>
        <row r="13">
          <cell r="A13" t="str">
            <v>AZE</v>
          </cell>
          <cell r="B13">
            <v>0</v>
          </cell>
        </row>
        <row r="14">
          <cell r="A14" t="str">
            <v>BDI</v>
          </cell>
          <cell r="B14">
            <v>0</v>
          </cell>
        </row>
        <row r="15">
          <cell r="A15" t="str">
            <v>BEL</v>
          </cell>
          <cell r="B15">
            <v>-455045000</v>
          </cell>
        </row>
        <row r="16">
          <cell r="A16" t="str">
            <v>BEN</v>
          </cell>
          <cell r="B16">
            <v>0</v>
          </cell>
        </row>
        <row r="17">
          <cell r="A17" t="str">
            <v>BFA</v>
          </cell>
          <cell r="B17">
            <v>0</v>
          </cell>
        </row>
        <row r="18">
          <cell r="A18" t="str">
            <v>BGD</v>
          </cell>
          <cell r="B18">
            <v>-1893308.89536</v>
          </cell>
        </row>
        <row r="19">
          <cell r="A19" t="str">
            <v>BGR</v>
          </cell>
          <cell r="B19">
            <v>-257680000</v>
          </cell>
        </row>
        <row r="20">
          <cell r="A20" t="str">
            <v>BHR</v>
          </cell>
          <cell r="B20">
            <v>0</v>
          </cell>
        </row>
        <row r="21">
          <cell r="A21" t="str">
            <v>BHS</v>
          </cell>
          <cell r="B21">
            <v>0</v>
          </cell>
        </row>
        <row r="22">
          <cell r="A22" t="str">
            <v>BIH</v>
          </cell>
          <cell r="B22">
            <v>-13469600</v>
          </cell>
        </row>
        <row r="23">
          <cell r="A23" t="str">
            <v>BLR</v>
          </cell>
          <cell r="B23">
            <v>-78600000</v>
          </cell>
        </row>
        <row r="24">
          <cell r="A24" t="str">
            <v>BLZ</v>
          </cell>
          <cell r="B24">
            <v>0</v>
          </cell>
        </row>
        <row r="25">
          <cell r="A25" t="str">
            <v>BMU</v>
          </cell>
          <cell r="B25">
            <v>0</v>
          </cell>
        </row>
        <row r="26">
          <cell r="A26" t="str">
            <v>BOL</v>
          </cell>
          <cell r="B26">
            <v>-3134723.3369999998</v>
          </cell>
        </row>
        <row r="27">
          <cell r="A27" t="str">
            <v>BRA</v>
          </cell>
          <cell r="B27">
            <v>-9203050000</v>
          </cell>
        </row>
        <row r="28">
          <cell r="A28" t="str">
            <v>BRN</v>
          </cell>
          <cell r="B28">
            <v>0</v>
          </cell>
        </row>
        <row r="29">
          <cell r="A29" t="str">
            <v>BTN</v>
          </cell>
          <cell r="B29">
            <v>0</v>
          </cell>
        </row>
        <row r="30">
          <cell r="A30" t="str">
            <v>BWA</v>
          </cell>
          <cell r="B30">
            <v>0</v>
          </cell>
        </row>
        <row r="31">
          <cell r="A31" t="str">
            <v>CAN</v>
          </cell>
          <cell r="B31">
            <v>3427000000</v>
          </cell>
        </row>
        <row r="32">
          <cell r="A32" t="str">
            <v>CHE</v>
          </cell>
          <cell r="B32">
            <v>2505400000</v>
          </cell>
        </row>
        <row r="33">
          <cell r="A33" t="str">
            <v>CHL</v>
          </cell>
          <cell r="B33">
            <v>0</v>
          </cell>
        </row>
        <row r="34">
          <cell r="A34" t="str">
            <v>CHN</v>
          </cell>
          <cell r="B34">
            <v>0</v>
          </cell>
        </row>
        <row r="35">
          <cell r="A35" t="str">
            <v>CIV</v>
          </cell>
          <cell r="B35">
            <v>0</v>
          </cell>
        </row>
        <row r="36">
          <cell r="A36" t="str">
            <v>CMR</v>
          </cell>
          <cell r="B36">
            <v>0</v>
          </cell>
        </row>
        <row r="37">
          <cell r="A37" t="str">
            <v>COD</v>
          </cell>
          <cell r="B37">
            <v>0</v>
          </cell>
        </row>
        <row r="38">
          <cell r="A38" t="str">
            <v>COL</v>
          </cell>
          <cell r="B38">
            <v>-163333000</v>
          </cell>
        </row>
        <row r="39">
          <cell r="A39" t="str">
            <v>COM</v>
          </cell>
          <cell r="B39">
            <v>0</v>
          </cell>
        </row>
        <row r="40">
          <cell r="A40" t="str">
            <v>CPV</v>
          </cell>
          <cell r="B40">
            <v>-16471.8986</v>
          </cell>
        </row>
        <row r="41">
          <cell r="A41" t="str">
            <v>CRI</v>
          </cell>
          <cell r="B41">
            <v>10053000</v>
          </cell>
        </row>
        <row r="42">
          <cell r="A42" t="str">
            <v>CYP</v>
          </cell>
          <cell r="B42">
            <v>-2585150000</v>
          </cell>
        </row>
        <row r="43">
          <cell r="A43" t="str">
            <v>CZE</v>
          </cell>
          <cell r="B43">
            <v>-486789000</v>
          </cell>
        </row>
        <row r="44">
          <cell r="A44" t="str">
            <v>DEU</v>
          </cell>
          <cell r="B44">
            <v>-8504510000</v>
          </cell>
        </row>
        <row r="45">
          <cell r="A45" t="str">
            <v>DJI</v>
          </cell>
          <cell r="B45">
            <v>0</v>
          </cell>
        </row>
        <row r="46">
          <cell r="A46" t="str">
            <v>DMA</v>
          </cell>
          <cell r="B46">
            <v>0</v>
          </cell>
        </row>
        <row r="47">
          <cell r="A47" t="str">
            <v>DNK</v>
          </cell>
          <cell r="B47">
            <v>782055000</v>
          </cell>
        </row>
        <row r="48">
          <cell r="A48" t="str">
            <v>DOM</v>
          </cell>
          <cell r="B48">
            <v>-128900000</v>
          </cell>
        </row>
        <row r="49">
          <cell r="A49" t="str">
            <v>ECU</v>
          </cell>
          <cell r="B49">
            <v>-44432000</v>
          </cell>
        </row>
        <row r="50">
          <cell r="A50" t="str">
            <v>EGY</v>
          </cell>
          <cell r="B50">
            <v>0</v>
          </cell>
        </row>
        <row r="51">
          <cell r="A51" t="str">
            <v>ESP</v>
          </cell>
          <cell r="B51">
            <v>-3080660000</v>
          </cell>
        </row>
        <row r="52">
          <cell r="A52" t="str">
            <v>EST</v>
          </cell>
          <cell r="B52">
            <v>18930478.788070001</v>
          </cell>
        </row>
        <row r="53">
          <cell r="A53" t="str">
            <v>ETH</v>
          </cell>
          <cell r="B53">
            <v>0</v>
          </cell>
        </row>
        <row r="54">
          <cell r="A54" t="str">
            <v>FIN</v>
          </cell>
          <cell r="B54">
            <v>104454000</v>
          </cell>
        </row>
        <row r="55">
          <cell r="A55" t="str">
            <v>FJI</v>
          </cell>
          <cell r="B55">
            <v>0</v>
          </cell>
        </row>
        <row r="56">
          <cell r="A56" t="str">
            <v>FRA</v>
          </cell>
          <cell r="B56">
            <v>2340190000</v>
          </cell>
        </row>
        <row r="57">
          <cell r="A57" t="str">
            <v>GBR</v>
          </cell>
          <cell r="B57">
            <v>-76429800</v>
          </cell>
        </row>
        <row r="58">
          <cell r="A58" t="str">
            <v>GEO</v>
          </cell>
          <cell r="B58">
            <v>-192895000</v>
          </cell>
        </row>
        <row r="59">
          <cell r="A59" t="str">
            <v>GHA</v>
          </cell>
          <cell r="B59">
            <v>0</v>
          </cell>
        </row>
        <row r="60">
          <cell r="A60" t="str">
            <v>GIN</v>
          </cell>
          <cell r="B60">
            <v>0</v>
          </cell>
        </row>
        <row r="61">
          <cell r="A61" t="str">
            <v>GMB</v>
          </cell>
          <cell r="B61">
            <v>0</v>
          </cell>
        </row>
        <row r="62">
          <cell r="A62" t="str">
            <v>GNB</v>
          </cell>
          <cell r="B62">
            <v>0</v>
          </cell>
        </row>
        <row r="63">
          <cell r="A63" t="str">
            <v>GRC</v>
          </cell>
          <cell r="B63">
            <v>-46026900</v>
          </cell>
        </row>
        <row r="64">
          <cell r="A64" t="str">
            <v>GRD</v>
          </cell>
          <cell r="B64">
            <v>0</v>
          </cell>
        </row>
        <row r="65">
          <cell r="A65" t="str">
            <v>GTM</v>
          </cell>
          <cell r="B65">
            <v>-1975320</v>
          </cell>
        </row>
        <row r="66">
          <cell r="A66" t="str">
            <v>GUY</v>
          </cell>
          <cell r="B66">
            <v>0</v>
          </cell>
        </row>
        <row r="67">
          <cell r="A67" t="str">
            <v>HKG</v>
          </cell>
          <cell r="B67">
            <v>1501370000</v>
          </cell>
        </row>
        <row r="68">
          <cell r="A68" t="str">
            <v>HND</v>
          </cell>
          <cell r="B68">
            <v>0</v>
          </cell>
        </row>
        <row r="69">
          <cell r="A69" t="str">
            <v>HRV</v>
          </cell>
          <cell r="B69">
            <v>-115687000</v>
          </cell>
        </row>
        <row r="70">
          <cell r="A70" t="str">
            <v>HTI</v>
          </cell>
          <cell r="B70">
            <v>0</v>
          </cell>
        </row>
        <row r="71">
          <cell r="A71" t="str">
            <v>HUN</v>
          </cell>
          <cell r="B71">
            <v>290388000</v>
          </cell>
        </row>
        <row r="72">
          <cell r="A72" t="str">
            <v>IDN</v>
          </cell>
          <cell r="B72">
            <v>-789584000</v>
          </cell>
        </row>
        <row r="73">
          <cell r="A73" t="str">
            <v>IND</v>
          </cell>
          <cell r="B73">
            <v>-198116000</v>
          </cell>
        </row>
        <row r="74">
          <cell r="A74" t="str">
            <v>IRL</v>
          </cell>
          <cell r="B74">
            <v>-4638460000</v>
          </cell>
        </row>
        <row r="75">
          <cell r="A75" t="str">
            <v>IRQ</v>
          </cell>
          <cell r="B75">
            <v>0</v>
          </cell>
        </row>
        <row r="76">
          <cell r="A76" t="str">
            <v>ISL</v>
          </cell>
          <cell r="B76">
            <v>-137248000</v>
          </cell>
        </row>
        <row r="77">
          <cell r="A77" t="str">
            <v>ISR</v>
          </cell>
          <cell r="B77">
            <v>112200000</v>
          </cell>
        </row>
        <row r="78">
          <cell r="A78" t="str">
            <v>ITA</v>
          </cell>
          <cell r="B78">
            <v>-604579000</v>
          </cell>
        </row>
        <row r="79">
          <cell r="A79" t="str">
            <v>JAM</v>
          </cell>
          <cell r="B79">
            <v>0</v>
          </cell>
        </row>
        <row r="80">
          <cell r="A80" t="str">
            <v>JOR</v>
          </cell>
          <cell r="B80">
            <v>0</v>
          </cell>
        </row>
        <row r="81">
          <cell r="A81" t="str">
            <v>JPN</v>
          </cell>
          <cell r="B81">
            <v>1422690000</v>
          </cell>
        </row>
        <row r="82">
          <cell r="A82" t="str">
            <v>KAZ</v>
          </cell>
          <cell r="B82">
            <v>-4553680000</v>
          </cell>
        </row>
        <row r="83">
          <cell r="A83" t="str">
            <v>KGZ</v>
          </cell>
          <cell r="B83">
            <v>0</v>
          </cell>
        </row>
        <row r="84">
          <cell r="A84" t="str">
            <v>KHM</v>
          </cell>
          <cell r="B84">
            <v>0</v>
          </cell>
        </row>
        <row r="85">
          <cell r="A85" t="str">
            <v>KIR</v>
          </cell>
          <cell r="B85">
            <v>0</v>
          </cell>
        </row>
        <row r="86">
          <cell r="A86" t="str">
            <v>KNA</v>
          </cell>
          <cell r="B86">
            <v>0</v>
          </cell>
        </row>
        <row r="87">
          <cell r="A87" t="str">
            <v>KOR</v>
          </cell>
          <cell r="B87">
            <v>1034000000</v>
          </cell>
        </row>
        <row r="88">
          <cell r="A88" t="str">
            <v>KWT</v>
          </cell>
          <cell r="B88">
            <v>0</v>
          </cell>
        </row>
        <row r="89">
          <cell r="A89" t="str">
            <v>LAO</v>
          </cell>
          <cell r="B89">
            <v>0</v>
          </cell>
        </row>
        <row r="90">
          <cell r="A90" t="str">
            <v>LBN</v>
          </cell>
          <cell r="B90">
            <v>0</v>
          </cell>
        </row>
        <row r="91">
          <cell r="A91" t="str">
            <v>LBR</v>
          </cell>
          <cell r="B91">
            <v>0</v>
          </cell>
        </row>
        <row r="92">
          <cell r="A92" t="str">
            <v>LBY</v>
          </cell>
          <cell r="B92">
            <v>0</v>
          </cell>
        </row>
        <row r="93">
          <cell r="A93" t="str">
            <v>LCA</v>
          </cell>
          <cell r="B93">
            <v>0</v>
          </cell>
        </row>
        <row r="94">
          <cell r="A94" t="str">
            <v>LKA</v>
          </cell>
          <cell r="B94">
            <v>0</v>
          </cell>
        </row>
        <row r="95">
          <cell r="A95" t="str">
            <v>LSO</v>
          </cell>
          <cell r="B95">
            <v>0</v>
          </cell>
        </row>
        <row r="96">
          <cell r="A96" t="str">
            <v>LTU</v>
          </cell>
          <cell r="B96">
            <v>-40938400</v>
          </cell>
        </row>
        <row r="97">
          <cell r="A97" t="str">
            <v>LUX</v>
          </cell>
          <cell r="B97">
            <v>5835540000</v>
          </cell>
        </row>
        <row r="98">
          <cell r="A98" t="str">
            <v>LVA</v>
          </cell>
          <cell r="B98">
            <v>-25751900</v>
          </cell>
        </row>
        <row r="99">
          <cell r="A99" t="str">
            <v>MAC</v>
          </cell>
          <cell r="B99">
            <v>0</v>
          </cell>
        </row>
        <row r="100">
          <cell r="A100" t="str">
            <v>MAR</v>
          </cell>
          <cell r="B100">
            <v>-26648200</v>
          </cell>
        </row>
        <row r="101">
          <cell r="A101" t="str">
            <v>MDA</v>
          </cell>
          <cell r="B101">
            <v>-13520000</v>
          </cell>
        </row>
        <row r="102">
          <cell r="A102" t="str">
            <v>MDG</v>
          </cell>
          <cell r="B102">
            <v>0</v>
          </cell>
        </row>
        <row r="103">
          <cell r="A103" t="str">
            <v>MDV</v>
          </cell>
          <cell r="B103">
            <v>0</v>
          </cell>
        </row>
        <row r="104">
          <cell r="A104" t="str">
            <v>MEX</v>
          </cell>
          <cell r="B104">
            <v>268490000</v>
          </cell>
        </row>
        <row r="105">
          <cell r="A105" t="str">
            <v>MHL</v>
          </cell>
          <cell r="B105">
            <v>0</v>
          </cell>
        </row>
        <row r="106">
          <cell r="A106" t="str">
            <v>MKD</v>
          </cell>
          <cell r="B106">
            <v>-38924100</v>
          </cell>
        </row>
        <row r="107">
          <cell r="A107" t="str">
            <v>MLI</v>
          </cell>
          <cell r="B107">
            <v>0</v>
          </cell>
        </row>
        <row r="108">
          <cell r="A108" t="str">
            <v>MLT</v>
          </cell>
          <cell r="B108">
            <v>-2043658.9809099999</v>
          </cell>
        </row>
        <row r="109">
          <cell r="A109" t="str">
            <v>MMR</v>
          </cell>
          <cell r="B109">
            <v>0</v>
          </cell>
        </row>
        <row r="110">
          <cell r="A110" t="str">
            <v>MNE</v>
          </cell>
          <cell r="B110">
            <v>-1312198.62858</v>
          </cell>
        </row>
        <row r="111">
          <cell r="A111" t="str">
            <v>MNG</v>
          </cell>
          <cell r="B111">
            <v>-478301000</v>
          </cell>
        </row>
        <row r="112">
          <cell r="A112" t="str">
            <v>MOZ</v>
          </cell>
          <cell r="B112">
            <v>0</v>
          </cell>
        </row>
        <row r="113">
          <cell r="A113" t="str">
            <v>MRT</v>
          </cell>
          <cell r="B113">
            <v>0</v>
          </cell>
        </row>
        <row r="114">
          <cell r="A114" t="str">
            <v>MSR</v>
          </cell>
          <cell r="B114">
            <v>0</v>
          </cell>
        </row>
        <row r="115">
          <cell r="A115" t="str">
            <v>MUS</v>
          </cell>
          <cell r="B115">
            <v>0</v>
          </cell>
        </row>
        <row r="116">
          <cell r="A116" t="str">
            <v>MWI</v>
          </cell>
          <cell r="B116">
            <v>0</v>
          </cell>
        </row>
        <row r="117">
          <cell r="A117" t="str">
            <v>MYS</v>
          </cell>
          <cell r="B117">
            <v>0</v>
          </cell>
        </row>
        <row r="118">
          <cell r="A118" t="str">
            <v>NAM</v>
          </cell>
          <cell r="B118">
            <v>-130338000</v>
          </cell>
        </row>
        <row r="119">
          <cell r="A119" t="str">
            <v>NER</v>
          </cell>
          <cell r="B119">
            <v>0</v>
          </cell>
        </row>
        <row r="120">
          <cell r="A120" t="str">
            <v>NGA</v>
          </cell>
          <cell r="B120">
            <v>0</v>
          </cell>
        </row>
        <row r="121">
          <cell r="A121" t="str">
            <v>NIC</v>
          </cell>
          <cell r="B121">
            <v>0</v>
          </cell>
        </row>
        <row r="122">
          <cell r="A122" t="str">
            <v>NLD</v>
          </cell>
          <cell r="B122">
            <v>15297200000</v>
          </cell>
        </row>
        <row r="123">
          <cell r="A123" t="str">
            <v>NOR</v>
          </cell>
          <cell r="B123">
            <v>242590000</v>
          </cell>
        </row>
        <row r="124">
          <cell r="A124" t="str">
            <v>NPL</v>
          </cell>
          <cell r="B124">
            <v>0</v>
          </cell>
        </row>
        <row r="125">
          <cell r="A125" t="str">
            <v>NRU</v>
          </cell>
          <cell r="B125">
            <v>0</v>
          </cell>
        </row>
        <row r="126">
          <cell r="A126" t="str">
            <v>NZL</v>
          </cell>
          <cell r="B126">
            <v>-414952000</v>
          </cell>
        </row>
        <row r="127">
          <cell r="A127" t="str">
            <v>OMN</v>
          </cell>
          <cell r="B127">
            <v>0</v>
          </cell>
        </row>
        <row r="128">
          <cell r="A128" t="str">
            <v>PAK</v>
          </cell>
          <cell r="B128">
            <v>58921948</v>
          </cell>
        </row>
        <row r="129">
          <cell r="A129" t="str">
            <v>PAN</v>
          </cell>
          <cell r="B129">
            <v>0</v>
          </cell>
        </row>
        <row r="130">
          <cell r="A130" t="str">
            <v>PER</v>
          </cell>
          <cell r="B130">
            <v>0</v>
          </cell>
        </row>
        <row r="131">
          <cell r="A131" t="str">
            <v>PHL</v>
          </cell>
          <cell r="B131">
            <v>0</v>
          </cell>
        </row>
        <row r="132">
          <cell r="A132" t="str">
            <v>PNG</v>
          </cell>
          <cell r="B132">
            <v>0</v>
          </cell>
        </row>
        <row r="133">
          <cell r="A133" t="str">
            <v>POL</v>
          </cell>
          <cell r="B133">
            <v>-1971000000</v>
          </cell>
        </row>
        <row r="134">
          <cell r="A134" t="str">
            <v>PRT</v>
          </cell>
          <cell r="B134">
            <v>-961609000</v>
          </cell>
        </row>
        <row r="135">
          <cell r="A135" t="str">
            <v>PRY</v>
          </cell>
          <cell r="B135">
            <v>-1000000</v>
          </cell>
        </row>
        <row r="136">
          <cell r="A136" t="str">
            <v>QAT</v>
          </cell>
          <cell r="B136">
            <v>0</v>
          </cell>
        </row>
        <row r="137">
          <cell r="A137" t="str">
            <v>ROU</v>
          </cell>
          <cell r="B137">
            <v>-661723000</v>
          </cell>
        </row>
        <row r="138">
          <cell r="A138" t="str">
            <v>RUS</v>
          </cell>
          <cell r="B138">
            <v>-5010930000</v>
          </cell>
        </row>
        <row r="139">
          <cell r="A139" t="str">
            <v>RWA</v>
          </cell>
          <cell r="B139">
            <v>0</v>
          </cell>
        </row>
        <row r="140">
          <cell r="A140" t="str">
            <v>SAU</v>
          </cell>
          <cell r="B140">
            <v>0</v>
          </cell>
        </row>
        <row r="141">
          <cell r="A141" t="str">
            <v>SDN</v>
          </cell>
          <cell r="B141">
            <v>0</v>
          </cell>
        </row>
        <row r="142">
          <cell r="A142" t="str">
            <v>SEN</v>
          </cell>
          <cell r="B142">
            <v>0</v>
          </cell>
        </row>
        <row r="143">
          <cell r="A143" t="str">
            <v>SGP</v>
          </cell>
          <cell r="B143">
            <v>0</v>
          </cell>
        </row>
        <row r="144">
          <cell r="A144" t="str">
            <v>SLB</v>
          </cell>
          <cell r="B144">
            <v>0</v>
          </cell>
        </row>
        <row r="145">
          <cell r="A145" t="str">
            <v>SLE</v>
          </cell>
          <cell r="B145">
            <v>0</v>
          </cell>
        </row>
        <row r="146">
          <cell r="A146" t="str">
            <v>SLV</v>
          </cell>
          <cell r="B146">
            <v>0</v>
          </cell>
        </row>
        <row r="147">
          <cell r="A147" t="str">
            <v>STP</v>
          </cell>
          <cell r="B147">
            <v>0</v>
          </cell>
        </row>
        <row r="148">
          <cell r="A148" t="str">
            <v>SUR</v>
          </cell>
          <cell r="B148">
            <v>0</v>
          </cell>
        </row>
        <row r="149">
          <cell r="A149" t="str">
            <v>SVK</v>
          </cell>
          <cell r="B149">
            <v>-158164000</v>
          </cell>
        </row>
        <row r="150">
          <cell r="A150" t="str">
            <v>SVN</v>
          </cell>
          <cell r="B150">
            <v>-31470500</v>
          </cell>
        </row>
        <row r="151">
          <cell r="A151" t="str">
            <v>SWE</v>
          </cell>
          <cell r="B151">
            <v>1711430000</v>
          </cell>
        </row>
        <row r="152">
          <cell r="A152" t="str">
            <v>SWZ</v>
          </cell>
          <cell r="B152">
            <v>-1996444.64142</v>
          </cell>
        </row>
        <row r="153">
          <cell r="A153" t="str">
            <v>SYC</v>
          </cell>
          <cell r="B153">
            <v>-453105.77</v>
          </cell>
        </row>
        <row r="154">
          <cell r="A154" t="str">
            <v>TGO</v>
          </cell>
          <cell r="B154">
            <v>0</v>
          </cell>
        </row>
        <row r="155">
          <cell r="A155" t="str">
            <v>THA</v>
          </cell>
          <cell r="B155">
            <v>-147203000</v>
          </cell>
        </row>
        <row r="156">
          <cell r="A156" t="str">
            <v>TJK</v>
          </cell>
          <cell r="B156">
            <v>-14186000</v>
          </cell>
        </row>
        <row r="157">
          <cell r="A157" t="str">
            <v>TLS</v>
          </cell>
          <cell r="B157">
            <v>0</v>
          </cell>
        </row>
        <row r="158">
          <cell r="A158" t="str">
            <v>TON</v>
          </cell>
          <cell r="B158">
            <v>0</v>
          </cell>
        </row>
        <row r="159">
          <cell r="A159" t="str">
            <v>TTO</v>
          </cell>
          <cell r="B159">
            <v>0</v>
          </cell>
        </row>
        <row r="160">
          <cell r="A160" t="str">
            <v>TUN</v>
          </cell>
          <cell r="B160">
            <v>0</v>
          </cell>
        </row>
        <row r="161">
          <cell r="A161" t="str">
            <v>TUR</v>
          </cell>
          <cell r="B161">
            <v>-696000000</v>
          </cell>
        </row>
        <row r="162">
          <cell r="A162" t="str">
            <v>TZA</v>
          </cell>
          <cell r="B162">
            <v>0</v>
          </cell>
        </row>
        <row r="163">
          <cell r="A163" t="str">
            <v>UGA</v>
          </cell>
          <cell r="B163">
            <v>-8660622.8088600002</v>
          </cell>
        </row>
        <row r="164">
          <cell r="A164" t="str">
            <v>UKR</v>
          </cell>
          <cell r="B164">
            <v>-497000000</v>
          </cell>
        </row>
        <row r="165">
          <cell r="A165" t="str">
            <v>URY</v>
          </cell>
          <cell r="B165">
            <v>152675000</v>
          </cell>
        </row>
        <row r="166">
          <cell r="A166" t="str">
            <v>USA</v>
          </cell>
          <cell r="B166">
            <v>-26587000000</v>
          </cell>
        </row>
        <row r="167">
          <cell r="A167" t="str">
            <v>UZB</v>
          </cell>
          <cell r="B167">
            <v>-41456200</v>
          </cell>
        </row>
        <row r="168">
          <cell r="A168" t="str">
            <v>VCT</v>
          </cell>
          <cell r="B168">
            <v>0</v>
          </cell>
        </row>
        <row r="169">
          <cell r="A169" t="str">
            <v>VNM</v>
          </cell>
          <cell r="B169">
            <v>0</v>
          </cell>
        </row>
        <row r="170">
          <cell r="A170" t="str">
            <v>VUT</v>
          </cell>
          <cell r="B170">
            <v>0</v>
          </cell>
        </row>
        <row r="171">
          <cell r="A171" t="str">
            <v>WSM</v>
          </cell>
          <cell r="B171">
            <v>0</v>
          </cell>
        </row>
        <row r="172">
          <cell r="A172" t="str">
            <v>ZAF</v>
          </cell>
          <cell r="B172">
            <v>354706000</v>
          </cell>
        </row>
        <row r="173">
          <cell r="A173" t="str">
            <v>ZMB</v>
          </cell>
          <cell r="B173">
            <v>-88191200</v>
          </cell>
        </row>
        <row r="174">
          <cell r="A174" t="str">
            <v>Total</v>
          </cell>
          <cell r="B174">
            <v>-37129000000</v>
          </cell>
        </row>
      </sheetData>
      <sheetData sheetId="3">
        <row r="1">
          <cell r="A1" t="str">
            <v>ISO 3166 alpha-3 code</v>
          </cell>
          <cell r="B1" t="str">
            <v>Sum</v>
          </cell>
          <cell r="C1" t="str">
            <v>Sum</v>
          </cell>
          <cell r="D1" t="str">
            <v>Sum</v>
          </cell>
        </row>
        <row r="2">
          <cell r="B2" t="str">
            <v>DI interest Net</v>
          </cell>
          <cell r="C2" t="str">
            <v>DI interest Credit</v>
          </cell>
          <cell r="D2" t="str">
            <v>DI interest Debit</v>
          </cell>
        </row>
        <row r="3">
          <cell r="A3" t="str">
            <v>ABW</v>
          </cell>
          <cell r="B3">
            <v>0</v>
          </cell>
          <cell r="C3">
            <v>0</v>
          </cell>
          <cell r="D3">
            <v>0</v>
          </cell>
        </row>
        <row r="4">
          <cell r="A4" t="str">
            <v>AFG</v>
          </cell>
          <cell r="B4">
            <v>0</v>
          </cell>
          <cell r="C4">
            <v>0</v>
          </cell>
          <cell r="D4">
            <v>0</v>
          </cell>
        </row>
        <row r="5">
          <cell r="A5" t="str">
            <v>AGO</v>
          </cell>
          <cell r="B5">
            <v>0</v>
          </cell>
          <cell r="C5">
            <v>0</v>
          </cell>
          <cell r="D5">
            <v>0</v>
          </cell>
        </row>
        <row r="6">
          <cell r="A6" t="str">
            <v>AIA</v>
          </cell>
          <cell r="B6">
            <v>0</v>
          </cell>
          <cell r="C6">
            <v>0</v>
          </cell>
          <cell r="D6">
            <v>0</v>
          </cell>
        </row>
        <row r="7">
          <cell r="A7" t="str">
            <v>ALB</v>
          </cell>
          <cell r="B7">
            <v>-3698914.4485900002</v>
          </cell>
          <cell r="C7">
            <v>777050.9118</v>
          </cell>
          <cell r="D7">
            <v>4498442.4989200002</v>
          </cell>
        </row>
        <row r="8">
          <cell r="A8" t="str">
            <v>ARG</v>
          </cell>
          <cell r="B8">
            <v>-583326000</v>
          </cell>
          <cell r="C8">
            <v>0</v>
          </cell>
          <cell r="D8">
            <v>583326000</v>
          </cell>
        </row>
        <row r="9">
          <cell r="A9" t="str">
            <v>ARM</v>
          </cell>
          <cell r="B9">
            <v>-44196000</v>
          </cell>
          <cell r="C9">
            <v>11328432.6798</v>
          </cell>
          <cell r="D9">
            <v>55524425.33467</v>
          </cell>
        </row>
        <row r="10">
          <cell r="A10" t="str">
            <v>ATG</v>
          </cell>
          <cell r="B10">
            <v>0</v>
          </cell>
          <cell r="C10">
            <v>0</v>
          </cell>
          <cell r="D10">
            <v>0</v>
          </cell>
        </row>
        <row r="11">
          <cell r="A11" t="str">
            <v>AUS</v>
          </cell>
          <cell r="B11">
            <v>0</v>
          </cell>
          <cell r="C11">
            <v>0</v>
          </cell>
          <cell r="D11">
            <v>0</v>
          </cell>
        </row>
        <row r="12">
          <cell r="A12" t="str">
            <v>AUT</v>
          </cell>
          <cell r="B12">
            <v>444119000</v>
          </cell>
          <cell r="C12">
            <v>1749040000</v>
          </cell>
          <cell r="D12">
            <v>1304920000</v>
          </cell>
        </row>
        <row r="13">
          <cell r="A13" t="str">
            <v>AZE</v>
          </cell>
          <cell r="B13">
            <v>0</v>
          </cell>
          <cell r="C13">
            <v>0</v>
          </cell>
          <cell r="D13">
            <v>0</v>
          </cell>
        </row>
        <row r="14">
          <cell r="A14" t="str">
            <v>BDI</v>
          </cell>
          <cell r="B14">
            <v>0</v>
          </cell>
          <cell r="C14">
            <v>0</v>
          </cell>
          <cell r="D14">
            <v>0</v>
          </cell>
        </row>
        <row r="15">
          <cell r="A15" t="str">
            <v>BEL</v>
          </cell>
          <cell r="B15">
            <v>-455045000</v>
          </cell>
          <cell r="C15">
            <v>8875210000</v>
          </cell>
          <cell r="D15">
            <v>9330260000</v>
          </cell>
        </row>
        <row r="16">
          <cell r="A16" t="str">
            <v>BEN</v>
          </cell>
          <cell r="B16">
            <v>0</v>
          </cell>
          <cell r="C16">
            <v>0</v>
          </cell>
          <cell r="D16">
            <v>0</v>
          </cell>
        </row>
        <row r="17">
          <cell r="A17" t="str">
            <v>BFA</v>
          </cell>
          <cell r="B17">
            <v>0</v>
          </cell>
          <cell r="C17">
            <v>0</v>
          </cell>
          <cell r="D17">
            <v>0</v>
          </cell>
        </row>
        <row r="18">
          <cell r="A18" t="str">
            <v>BGD</v>
          </cell>
          <cell r="B18">
            <v>-1893308.89536</v>
          </cell>
          <cell r="C18">
            <v>0</v>
          </cell>
          <cell r="D18">
            <v>1893308.89536</v>
          </cell>
        </row>
        <row r="19">
          <cell r="A19" t="str">
            <v>BGR</v>
          </cell>
          <cell r="B19">
            <v>-257680000</v>
          </cell>
          <cell r="C19">
            <v>96550000</v>
          </cell>
          <cell r="D19">
            <v>354260000</v>
          </cell>
        </row>
        <row r="20">
          <cell r="A20" t="str">
            <v>BHR</v>
          </cell>
          <cell r="B20">
            <v>0</v>
          </cell>
          <cell r="C20">
            <v>0</v>
          </cell>
          <cell r="D20">
            <v>0</v>
          </cell>
        </row>
        <row r="21">
          <cell r="A21" t="str">
            <v>BHS</v>
          </cell>
          <cell r="B21">
            <v>0</v>
          </cell>
          <cell r="C21">
            <v>0</v>
          </cell>
          <cell r="D21">
            <v>0</v>
          </cell>
        </row>
        <row r="22">
          <cell r="A22" t="str">
            <v>BIH</v>
          </cell>
          <cell r="B22">
            <v>-13469600</v>
          </cell>
          <cell r="C22">
            <v>4114512.20462</v>
          </cell>
          <cell r="D22">
            <v>17584130.343180001</v>
          </cell>
        </row>
        <row r="23">
          <cell r="A23" t="str">
            <v>BLR</v>
          </cell>
          <cell r="B23">
            <v>-78600000</v>
          </cell>
          <cell r="C23">
            <v>3100000</v>
          </cell>
          <cell r="D23">
            <v>81700000</v>
          </cell>
        </row>
        <row r="24">
          <cell r="A24" t="str">
            <v>BLZ</v>
          </cell>
          <cell r="B24">
            <v>0</v>
          </cell>
          <cell r="C24">
            <v>0</v>
          </cell>
          <cell r="D24">
            <v>0</v>
          </cell>
        </row>
        <row r="25">
          <cell r="A25" t="str">
            <v>BMU</v>
          </cell>
          <cell r="B25">
            <v>0</v>
          </cell>
          <cell r="C25">
            <v>0</v>
          </cell>
          <cell r="D25">
            <v>0</v>
          </cell>
        </row>
        <row r="26">
          <cell r="A26" t="str">
            <v>BOL</v>
          </cell>
          <cell r="B26">
            <v>-3134723.3369999998</v>
          </cell>
          <cell r="C26">
            <v>15295558.473169999</v>
          </cell>
          <cell r="D26">
            <v>18430281.810169999</v>
          </cell>
        </row>
        <row r="27">
          <cell r="A27" t="str">
            <v>BRA</v>
          </cell>
          <cell r="B27">
            <v>-9203050000</v>
          </cell>
          <cell r="C27">
            <v>138702000</v>
          </cell>
          <cell r="D27">
            <v>9341750000</v>
          </cell>
        </row>
        <row r="28">
          <cell r="A28" t="str">
            <v>BRN</v>
          </cell>
          <cell r="B28">
            <v>0</v>
          </cell>
          <cell r="C28">
            <v>0</v>
          </cell>
          <cell r="D28">
            <v>0</v>
          </cell>
        </row>
        <row r="29">
          <cell r="A29" t="str">
            <v>BTN</v>
          </cell>
          <cell r="B29">
            <v>0</v>
          </cell>
          <cell r="C29">
            <v>0</v>
          </cell>
          <cell r="D29">
            <v>0</v>
          </cell>
        </row>
        <row r="30">
          <cell r="A30" t="str">
            <v>BWA</v>
          </cell>
          <cell r="B30">
            <v>0</v>
          </cell>
          <cell r="C30">
            <v>0</v>
          </cell>
          <cell r="D30">
            <v>0</v>
          </cell>
        </row>
        <row r="31">
          <cell r="A31" t="str">
            <v>CAN</v>
          </cell>
          <cell r="B31">
            <v>3427000000</v>
          </cell>
          <cell r="C31">
            <v>6058160000</v>
          </cell>
          <cell r="D31">
            <v>2631160000</v>
          </cell>
        </row>
        <row r="32">
          <cell r="A32" t="str">
            <v>CHE</v>
          </cell>
          <cell r="B32">
            <v>2505400000</v>
          </cell>
          <cell r="C32">
            <v>11589000000</v>
          </cell>
          <cell r="D32">
            <v>9083570000</v>
          </cell>
        </row>
        <row r="33">
          <cell r="A33" t="str">
            <v>CHL</v>
          </cell>
          <cell r="B33">
            <v>0</v>
          </cell>
          <cell r="C33">
            <v>0</v>
          </cell>
          <cell r="D33">
            <v>0</v>
          </cell>
        </row>
        <row r="34">
          <cell r="A34" t="str">
            <v>CHN</v>
          </cell>
          <cell r="B34">
            <v>0</v>
          </cell>
          <cell r="C34">
            <v>0</v>
          </cell>
          <cell r="D34">
            <v>0</v>
          </cell>
        </row>
        <row r="35">
          <cell r="A35" t="str">
            <v>CIV</v>
          </cell>
          <cell r="B35">
            <v>0</v>
          </cell>
          <cell r="C35">
            <v>0</v>
          </cell>
          <cell r="D35">
            <v>0</v>
          </cell>
        </row>
        <row r="36">
          <cell r="A36" t="str">
            <v>CMR</v>
          </cell>
          <cell r="B36">
            <v>0</v>
          </cell>
          <cell r="C36">
            <v>0</v>
          </cell>
          <cell r="D36">
            <v>0</v>
          </cell>
        </row>
        <row r="37">
          <cell r="A37" t="str">
            <v>COD</v>
          </cell>
          <cell r="B37">
            <v>0</v>
          </cell>
          <cell r="C37">
            <v>0</v>
          </cell>
          <cell r="D37">
            <v>0</v>
          </cell>
        </row>
        <row r="38">
          <cell r="A38" t="str">
            <v>COL</v>
          </cell>
          <cell r="B38">
            <v>-163333000</v>
          </cell>
          <cell r="C38">
            <v>141964000</v>
          </cell>
          <cell r="D38">
            <v>305297000</v>
          </cell>
        </row>
        <row r="39">
          <cell r="A39" t="str">
            <v>COM</v>
          </cell>
          <cell r="B39">
            <v>0</v>
          </cell>
          <cell r="C39">
            <v>0</v>
          </cell>
          <cell r="D39">
            <v>0</v>
          </cell>
        </row>
        <row r="40">
          <cell r="A40" t="str">
            <v>CPV</v>
          </cell>
          <cell r="B40">
            <v>-16471.8986</v>
          </cell>
          <cell r="C40">
            <v>0</v>
          </cell>
          <cell r="D40">
            <v>16471.8986</v>
          </cell>
        </row>
        <row r="41">
          <cell r="A41" t="str">
            <v>CRI</v>
          </cell>
          <cell r="B41">
            <v>10053000</v>
          </cell>
          <cell r="C41">
            <v>45917000</v>
          </cell>
          <cell r="D41">
            <v>35864000</v>
          </cell>
        </row>
        <row r="42">
          <cell r="A42" t="str">
            <v>CYP</v>
          </cell>
          <cell r="B42">
            <v>-2585150000</v>
          </cell>
          <cell r="C42">
            <v>1244790000</v>
          </cell>
          <cell r="D42">
            <v>3829930000</v>
          </cell>
        </row>
        <row r="43">
          <cell r="A43" t="str">
            <v>CZE</v>
          </cell>
          <cell r="B43">
            <v>-486789000</v>
          </cell>
          <cell r="C43">
            <v>340607000</v>
          </cell>
          <cell r="D43">
            <v>827484000</v>
          </cell>
        </row>
        <row r="44">
          <cell r="A44" t="str">
            <v>DEU</v>
          </cell>
          <cell r="B44">
            <v>-8504510000</v>
          </cell>
          <cell r="C44">
            <v>8217030000</v>
          </cell>
          <cell r="D44">
            <v>16721500000</v>
          </cell>
        </row>
        <row r="45">
          <cell r="A45" t="str">
            <v>DJI</v>
          </cell>
          <cell r="B45">
            <v>0</v>
          </cell>
          <cell r="C45">
            <v>0</v>
          </cell>
          <cell r="D45">
            <v>0</v>
          </cell>
        </row>
        <row r="46">
          <cell r="A46" t="str">
            <v>DMA</v>
          </cell>
          <cell r="B46">
            <v>0</v>
          </cell>
          <cell r="C46">
            <v>0</v>
          </cell>
          <cell r="D46">
            <v>0</v>
          </cell>
        </row>
        <row r="47">
          <cell r="A47" t="str">
            <v>DNK</v>
          </cell>
          <cell r="B47">
            <v>782055000</v>
          </cell>
          <cell r="C47">
            <v>1117610000</v>
          </cell>
          <cell r="D47">
            <v>335551000</v>
          </cell>
        </row>
        <row r="48">
          <cell r="A48" t="str">
            <v>DOM</v>
          </cell>
          <cell r="B48">
            <v>-128900000</v>
          </cell>
          <cell r="C48">
            <v>0</v>
          </cell>
          <cell r="D48">
            <v>128900000</v>
          </cell>
        </row>
        <row r="49">
          <cell r="A49" t="str">
            <v>ECU</v>
          </cell>
          <cell r="B49">
            <v>-44432000</v>
          </cell>
          <cell r="C49">
            <v>0</v>
          </cell>
          <cell r="D49">
            <v>44432000</v>
          </cell>
        </row>
        <row r="50">
          <cell r="A50" t="str">
            <v>EGY</v>
          </cell>
          <cell r="B50">
            <v>0</v>
          </cell>
          <cell r="C50">
            <v>0</v>
          </cell>
          <cell r="D50">
            <v>0</v>
          </cell>
        </row>
        <row r="51">
          <cell r="A51" t="str">
            <v>ESP</v>
          </cell>
          <cell r="B51">
            <v>-3080660000</v>
          </cell>
          <cell r="C51">
            <v>1792100000</v>
          </cell>
          <cell r="D51">
            <v>4872760000</v>
          </cell>
        </row>
        <row r="52">
          <cell r="A52" t="str">
            <v>EST</v>
          </cell>
          <cell r="B52">
            <v>18930478.788070001</v>
          </cell>
          <cell r="C52">
            <v>119602000</v>
          </cell>
          <cell r="D52">
            <v>100671000</v>
          </cell>
        </row>
        <row r="53">
          <cell r="A53" t="str">
            <v>ETH</v>
          </cell>
          <cell r="B53">
            <v>0</v>
          </cell>
          <cell r="C53">
            <v>0</v>
          </cell>
          <cell r="D53">
            <v>0</v>
          </cell>
        </row>
        <row r="54">
          <cell r="A54" t="str">
            <v>FIN</v>
          </cell>
          <cell r="B54">
            <v>104454000</v>
          </cell>
          <cell r="C54">
            <v>741788000</v>
          </cell>
          <cell r="D54">
            <v>637334000</v>
          </cell>
        </row>
        <row r="55">
          <cell r="A55" t="str">
            <v>FJI</v>
          </cell>
          <cell r="B55">
            <v>0</v>
          </cell>
          <cell r="C55">
            <v>0</v>
          </cell>
          <cell r="D55">
            <v>0</v>
          </cell>
        </row>
        <row r="56">
          <cell r="A56" t="str">
            <v>FRA</v>
          </cell>
          <cell r="B56">
            <v>2340190000</v>
          </cell>
          <cell r="C56">
            <v>8506710000</v>
          </cell>
          <cell r="D56">
            <v>6166400000</v>
          </cell>
        </row>
        <row r="57">
          <cell r="A57" t="str">
            <v>GBR</v>
          </cell>
          <cell r="B57">
            <v>-76429800</v>
          </cell>
          <cell r="C57">
            <v>12682000000</v>
          </cell>
          <cell r="D57">
            <v>12758400000</v>
          </cell>
        </row>
        <row r="58">
          <cell r="A58" t="str">
            <v>GEO</v>
          </cell>
          <cell r="B58">
            <v>-192895000</v>
          </cell>
          <cell r="C58">
            <v>2008660.91</v>
          </cell>
          <cell r="D58">
            <v>194904000</v>
          </cell>
        </row>
        <row r="59">
          <cell r="A59" t="str">
            <v>GHA</v>
          </cell>
          <cell r="B59">
            <v>0</v>
          </cell>
          <cell r="C59">
            <v>0</v>
          </cell>
          <cell r="D59">
            <v>0</v>
          </cell>
        </row>
        <row r="60">
          <cell r="A60" t="str">
            <v>GIN</v>
          </cell>
          <cell r="B60">
            <v>0</v>
          </cell>
          <cell r="C60">
            <v>0</v>
          </cell>
          <cell r="D60">
            <v>0</v>
          </cell>
        </row>
        <row r="61">
          <cell r="A61" t="str">
            <v>GMB</v>
          </cell>
          <cell r="B61">
            <v>0</v>
          </cell>
          <cell r="C61">
            <v>0</v>
          </cell>
          <cell r="D61">
            <v>0</v>
          </cell>
        </row>
        <row r="62">
          <cell r="A62" t="str">
            <v>GNB</v>
          </cell>
          <cell r="B62">
            <v>0</v>
          </cell>
          <cell r="C62">
            <v>0</v>
          </cell>
          <cell r="D62">
            <v>0</v>
          </cell>
        </row>
        <row r="63">
          <cell r="A63" t="str">
            <v>GRC</v>
          </cell>
          <cell r="B63">
            <v>-46026900</v>
          </cell>
          <cell r="C63">
            <v>6080985.8040699996</v>
          </cell>
          <cell r="D63">
            <v>52107848.923880003</v>
          </cell>
        </row>
        <row r="64">
          <cell r="A64" t="str">
            <v>GRD</v>
          </cell>
          <cell r="B64">
            <v>0</v>
          </cell>
          <cell r="C64">
            <v>0</v>
          </cell>
          <cell r="D64">
            <v>0</v>
          </cell>
        </row>
        <row r="65">
          <cell r="A65" t="str">
            <v>GTM</v>
          </cell>
          <cell r="B65">
            <v>-1975320</v>
          </cell>
          <cell r="C65">
            <v>2168880</v>
          </cell>
          <cell r="D65">
            <v>4144200</v>
          </cell>
        </row>
        <row r="66">
          <cell r="A66" t="str">
            <v>GUY</v>
          </cell>
          <cell r="B66">
            <v>0</v>
          </cell>
          <cell r="C66">
            <v>0</v>
          </cell>
          <cell r="D66">
            <v>0</v>
          </cell>
        </row>
        <row r="67">
          <cell r="A67" t="str">
            <v>HKG</v>
          </cell>
          <cell r="B67">
            <v>1501370000</v>
          </cell>
          <cell r="C67">
            <v>2811170000</v>
          </cell>
          <cell r="D67">
            <v>1309800000</v>
          </cell>
        </row>
        <row r="68">
          <cell r="A68" t="str">
            <v>HND</v>
          </cell>
          <cell r="B68">
            <v>0</v>
          </cell>
          <cell r="C68">
            <v>0</v>
          </cell>
          <cell r="D68">
            <v>0</v>
          </cell>
        </row>
        <row r="69">
          <cell r="A69" t="str">
            <v>HRV</v>
          </cell>
          <cell r="B69">
            <v>-115687000</v>
          </cell>
          <cell r="C69">
            <v>19488386.521370001</v>
          </cell>
          <cell r="D69">
            <v>135175000</v>
          </cell>
        </row>
        <row r="70">
          <cell r="A70" t="str">
            <v>HTI</v>
          </cell>
          <cell r="B70">
            <v>0</v>
          </cell>
          <cell r="C70">
            <v>0</v>
          </cell>
          <cell r="D70">
            <v>0</v>
          </cell>
        </row>
        <row r="71">
          <cell r="A71" t="str">
            <v>HUN</v>
          </cell>
          <cell r="B71">
            <v>290388000</v>
          </cell>
          <cell r="C71">
            <v>2442060000</v>
          </cell>
          <cell r="D71">
            <v>2151670000</v>
          </cell>
        </row>
        <row r="72">
          <cell r="A72" t="str">
            <v>IDN</v>
          </cell>
          <cell r="B72">
            <v>-789584000</v>
          </cell>
          <cell r="C72">
            <v>59889331.686190002</v>
          </cell>
          <cell r="D72">
            <v>849473000</v>
          </cell>
        </row>
        <row r="73">
          <cell r="A73" t="str">
            <v>IND</v>
          </cell>
          <cell r="B73">
            <v>-198116000</v>
          </cell>
          <cell r="C73">
            <v>50843378.655380003</v>
          </cell>
          <cell r="D73">
            <v>248960000</v>
          </cell>
        </row>
        <row r="74">
          <cell r="A74" t="str">
            <v>IRL</v>
          </cell>
          <cell r="B74">
            <v>-4638460000</v>
          </cell>
          <cell r="C74">
            <v>1440450000</v>
          </cell>
          <cell r="D74">
            <v>6078920000</v>
          </cell>
        </row>
        <row r="75">
          <cell r="A75" t="str">
            <v>IRQ</v>
          </cell>
          <cell r="B75">
            <v>0</v>
          </cell>
          <cell r="C75">
            <v>0</v>
          </cell>
          <cell r="D75">
            <v>0</v>
          </cell>
        </row>
        <row r="76">
          <cell r="A76" t="str">
            <v>ISL</v>
          </cell>
          <cell r="B76">
            <v>-137248000</v>
          </cell>
          <cell r="C76">
            <v>71629764.537599996</v>
          </cell>
          <cell r="D76">
            <v>208878000</v>
          </cell>
        </row>
        <row r="77">
          <cell r="A77" t="str">
            <v>ISR</v>
          </cell>
          <cell r="B77">
            <v>112200000</v>
          </cell>
          <cell r="C77">
            <v>458800000</v>
          </cell>
          <cell r="D77">
            <v>346600000</v>
          </cell>
        </row>
        <row r="78">
          <cell r="A78" t="str">
            <v>ITA</v>
          </cell>
          <cell r="B78">
            <v>-604579000</v>
          </cell>
          <cell r="C78">
            <v>3044160000</v>
          </cell>
          <cell r="D78">
            <v>3648720000</v>
          </cell>
        </row>
        <row r="79">
          <cell r="A79" t="str">
            <v>JAM</v>
          </cell>
          <cell r="B79">
            <v>0</v>
          </cell>
          <cell r="C79">
            <v>0</v>
          </cell>
          <cell r="D79">
            <v>0</v>
          </cell>
        </row>
        <row r="80">
          <cell r="A80" t="str">
            <v>JOR</v>
          </cell>
          <cell r="B80">
            <v>0</v>
          </cell>
          <cell r="C80">
            <v>0</v>
          </cell>
          <cell r="D80">
            <v>0</v>
          </cell>
        </row>
        <row r="81">
          <cell r="A81" t="str">
            <v>JPN</v>
          </cell>
          <cell r="B81">
            <v>1422690000</v>
          </cell>
          <cell r="C81">
            <v>2273470000</v>
          </cell>
          <cell r="D81">
            <v>850786000</v>
          </cell>
        </row>
        <row r="82">
          <cell r="A82" t="str">
            <v>KAZ</v>
          </cell>
          <cell r="B82">
            <v>-4553680000</v>
          </cell>
          <cell r="C82">
            <v>181551000</v>
          </cell>
          <cell r="D82">
            <v>4735230000</v>
          </cell>
        </row>
        <row r="83">
          <cell r="A83" t="str">
            <v>KGZ</v>
          </cell>
          <cell r="B83">
            <v>0</v>
          </cell>
          <cell r="C83">
            <v>0</v>
          </cell>
          <cell r="D83">
            <v>0</v>
          </cell>
        </row>
        <row r="84">
          <cell r="A84" t="str">
            <v>KHM</v>
          </cell>
          <cell r="B84">
            <v>0</v>
          </cell>
          <cell r="C84">
            <v>0</v>
          </cell>
          <cell r="D84">
            <v>0</v>
          </cell>
        </row>
        <row r="85">
          <cell r="A85" t="str">
            <v>KIR</v>
          </cell>
          <cell r="B85">
            <v>0</v>
          </cell>
          <cell r="C85">
            <v>0</v>
          </cell>
          <cell r="D85">
            <v>0</v>
          </cell>
        </row>
        <row r="86">
          <cell r="A86" t="str">
            <v>KNA</v>
          </cell>
          <cell r="B86">
            <v>0</v>
          </cell>
          <cell r="C86">
            <v>0</v>
          </cell>
          <cell r="D86">
            <v>0</v>
          </cell>
        </row>
        <row r="87">
          <cell r="A87" t="str">
            <v>KOR</v>
          </cell>
          <cell r="B87">
            <v>1034000000</v>
          </cell>
          <cell r="C87">
            <v>1497600000</v>
          </cell>
          <cell r="D87">
            <v>463600000</v>
          </cell>
        </row>
        <row r="88">
          <cell r="A88" t="str">
            <v>KWT</v>
          </cell>
          <cell r="B88">
            <v>0</v>
          </cell>
          <cell r="C88">
            <v>0</v>
          </cell>
          <cell r="D88">
            <v>0</v>
          </cell>
        </row>
        <row r="89">
          <cell r="A89" t="str">
            <v>LAO</v>
          </cell>
          <cell r="B89">
            <v>0</v>
          </cell>
          <cell r="C89">
            <v>0</v>
          </cell>
          <cell r="D89">
            <v>0</v>
          </cell>
        </row>
        <row r="90">
          <cell r="A90" t="str">
            <v>LBN</v>
          </cell>
          <cell r="B90">
            <v>0</v>
          </cell>
          <cell r="C90">
            <v>0</v>
          </cell>
          <cell r="D90">
            <v>0</v>
          </cell>
        </row>
        <row r="91">
          <cell r="A91" t="str">
            <v>LBR</v>
          </cell>
          <cell r="B91">
            <v>0</v>
          </cell>
          <cell r="C91">
            <v>0</v>
          </cell>
          <cell r="D91">
            <v>0</v>
          </cell>
        </row>
        <row r="92">
          <cell r="A92" t="str">
            <v>LBY</v>
          </cell>
          <cell r="B92">
            <v>0</v>
          </cell>
          <cell r="C92">
            <v>0</v>
          </cell>
          <cell r="D92">
            <v>0</v>
          </cell>
        </row>
        <row r="93">
          <cell r="A93" t="str">
            <v>LCA</v>
          </cell>
          <cell r="B93">
            <v>0</v>
          </cell>
          <cell r="C93">
            <v>0</v>
          </cell>
          <cell r="D93">
            <v>0</v>
          </cell>
        </row>
        <row r="94">
          <cell r="A94" t="str">
            <v>LKA</v>
          </cell>
          <cell r="B94">
            <v>0</v>
          </cell>
          <cell r="C94">
            <v>0</v>
          </cell>
          <cell r="D94">
            <v>0</v>
          </cell>
        </row>
        <row r="95">
          <cell r="A95" t="str">
            <v>LSO</v>
          </cell>
          <cell r="B95">
            <v>0</v>
          </cell>
          <cell r="C95">
            <v>0</v>
          </cell>
          <cell r="D95">
            <v>0</v>
          </cell>
        </row>
        <row r="96">
          <cell r="A96" t="str">
            <v>LTU</v>
          </cell>
          <cell r="B96">
            <v>-40938400</v>
          </cell>
          <cell r="C96">
            <v>36843038.49729</v>
          </cell>
          <cell r="D96">
            <v>77781460.311690003</v>
          </cell>
        </row>
        <row r="97">
          <cell r="A97" t="str">
            <v>LUX</v>
          </cell>
          <cell r="B97">
            <v>5835540000</v>
          </cell>
          <cell r="C97">
            <v>36576800000</v>
          </cell>
          <cell r="D97">
            <v>30741300000</v>
          </cell>
        </row>
        <row r="98">
          <cell r="A98" t="str">
            <v>LVA</v>
          </cell>
          <cell r="B98">
            <v>-25751900</v>
          </cell>
          <cell r="C98">
            <v>27928131.76407</v>
          </cell>
          <cell r="D98">
            <v>53680074.702380002</v>
          </cell>
        </row>
        <row r="99">
          <cell r="A99" t="str">
            <v>MAC</v>
          </cell>
          <cell r="B99">
            <v>0</v>
          </cell>
          <cell r="C99">
            <v>0</v>
          </cell>
          <cell r="D99">
            <v>0</v>
          </cell>
        </row>
        <row r="100">
          <cell r="A100" t="str">
            <v>MAR</v>
          </cell>
          <cell r="B100">
            <v>-26648200</v>
          </cell>
          <cell r="C100">
            <v>12372267.36644</v>
          </cell>
          <cell r="D100">
            <v>39020471.659419999</v>
          </cell>
        </row>
        <row r="101">
          <cell r="A101" t="str">
            <v>MDA</v>
          </cell>
          <cell r="B101">
            <v>-13520000</v>
          </cell>
          <cell r="C101">
            <v>1200000</v>
          </cell>
          <cell r="D101">
            <v>14720000</v>
          </cell>
        </row>
        <row r="102">
          <cell r="A102" t="str">
            <v>MDG</v>
          </cell>
          <cell r="B102">
            <v>0</v>
          </cell>
          <cell r="C102">
            <v>0</v>
          </cell>
          <cell r="D102">
            <v>0</v>
          </cell>
        </row>
        <row r="103">
          <cell r="A103" t="str">
            <v>MDV</v>
          </cell>
          <cell r="B103">
            <v>0</v>
          </cell>
          <cell r="C103">
            <v>0</v>
          </cell>
          <cell r="D103">
            <v>0</v>
          </cell>
        </row>
        <row r="104">
          <cell r="A104" t="str">
            <v>MEX</v>
          </cell>
          <cell r="B104">
            <v>268490000</v>
          </cell>
          <cell r="C104">
            <v>443752000</v>
          </cell>
          <cell r="D104">
            <v>175262000</v>
          </cell>
        </row>
        <row r="105">
          <cell r="A105" t="str">
            <v>MHL</v>
          </cell>
          <cell r="B105">
            <v>0</v>
          </cell>
          <cell r="C105">
            <v>0</v>
          </cell>
          <cell r="D105">
            <v>0</v>
          </cell>
        </row>
        <row r="106">
          <cell r="A106" t="str">
            <v>MKD</v>
          </cell>
          <cell r="B106">
            <v>-38924100</v>
          </cell>
          <cell r="C106">
            <v>831731</v>
          </cell>
          <cell r="D106">
            <v>39755819</v>
          </cell>
        </row>
        <row r="107">
          <cell r="A107" t="str">
            <v>MLI</v>
          </cell>
          <cell r="B107">
            <v>0</v>
          </cell>
          <cell r="C107">
            <v>0</v>
          </cell>
          <cell r="D107">
            <v>0</v>
          </cell>
        </row>
        <row r="108">
          <cell r="A108" t="str">
            <v>MLT</v>
          </cell>
          <cell r="B108">
            <v>-2043658.9809099999</v>
          </cell>
          <cell r="C108">
            <v>21124171.70358</v>
          </cell>
          <cell r="D108">
            <v>23167830.684489999</v>
          </cell>
        </row>
        <row r="109">
          <cell r="A109" t="str">
            <v>MMR</v>
          </cell>
          <cell r="B109">
            <v>0</v>
          </cell>
          <cell r="C109">
            <v>0</v>
          </cell>
          <cell r="D109">
            <v>0</v>
          </cell>
        </row>
        <row r="110">
          <cell r="A110" t="str">
            <v>MNE</v>
          </cell>
          <cell r="B110">
            <v>-1312198.62858</v>
          </cell>
          <cell r="C110">
            <v>2198485.6769900001</v>
          </cell>
          <cell r="D110">
            <v>3510684.3055699999</v>
          </cell>
        </row>
        <row r="111">
          <cell r="A111" t="str">
            <v>MNG</v>
          </cell>
          <cell r="B111">
            <v>-478301000</v>
          </cell>
          <cell r="C111">
            <v>0</v>
          </cell>
          <cell r="D111">
            <v>478301000</v>
          </cell>
        </row>
        <row r="112">
          <cell r="A112" t="str">
            <v>MOZ</v>
          </cell>
          <cell r="B112">
            <v>0</v>
          </cell>
          <cell r="C112">
            <v>0</v>
          </cell>
          <cell r="D112">
            <v>0</v>
          </cell>
        </row>
        <row r="113">
          <cell r="A113" t="str">
            <v>MRT</v>
          </cell>
          <cell r="B113">
            <v>0</v>
          </cell>
          <cell r="C113">
            <v>0</v>
          </cell>
          <cell r="D113">
            <v>0</v>
          </cell>
        </row>
        <row r="114">
          <cell r="A114" t="str">
            <v>MSR</v>
          </cell>
          <cell r="B114">
            <v>0</v>
          </cell>
          <cell r="C114">
            <v>0</v>
          </cell>
          <cell r="D114">
            <v>0</v>
          </cell>
        </row>
        <row r="115">
          <cell r="A115" t="str">
            <v>MUS</v>
          </cell>
          <cell r="B115">
            <v>0</v>
          </cell>
          <cell r="C115">
            <v>0</v>
          </cell>
          <cell r="D115">
            <v>0</v>
          </cell>
        </row>
        <row r="116">
          <cell r="A116" t="str">
            <v>MWI</v>
          </cell>
          <cell r="B116">
            <v>0</v>
          </cell>
          <cell r="C116">
            <v>0</v>
          </cell>
          <cell r="D116">
            <v>0</v>
          </cell>
        </row>
        <row r="117">
          <cell r="A117" t="str">
            <v>MYS</v>
          </cell>
          <cell r="B117">
            <v>0</v>
          </cell>
          <cell r="C117">
            <v>0</v>
          </cell>
          <cell r="D117">
            <v>0</v>
          </cell>
        </row>
        <row r="118">
          <cell r="A118" t="str">
            <v>NAM</v>
          </cell>
          <cell r="B118">
            <v>-130338000</v>
          </cell>
          <cell r="C118">
            <v>1767490.1268800001</v>
          </cell>
          <cell r="D118">
            <v>132105000</v>
          </cell>
        </row>
        <row r="119">
          <cell r="A119" t="str">
            <v>NER</v>
          </cell>
          <cell r="B119">
            <v>0</v>
          </cell>
          <cell r="C119">
            <v>0</v>
          </cell>
          <cell r="D119">
            <v>0</v>
          </cell>
        </row>
        <row r="120">
          <cell r="A120" t="str">
            <v>NGA</v>
          </cell>
          <cell r="B120">
            <v>0</v>
          </cell>
          <cell r="C120">
            <v>0</v>
          </cell>
          <cell r="D120">
            <v>0</v>
          </cell>
        </row>
        <row r="121">
          <cell r="A121" t="str">
            <v>NIC</v>
          </cell>
          <cell r="B121">
            <v>0</v>
          </cell>
          <cell r="C121">
            <v>0</v>
          </cell>
          <cell r="D121">
            <v>0</v>
          </cell>
        </row>
        <row r="122">
          <cell r="A122" t="str">
            <v>NLD</v>
          </cell>
          <cell r="B122">
            <v>15297200000</v>
          </cell>
          <cell r="C122">
            <v>49387800000</v>
          </cell>
          <cell r="D122">
            <v>34090700000</v>
          </cell>
        </row>
        <row r="123">
          <cell r="A123" t="str">
            <v>NOR</v>
          </cell>
          <cell r="B123">
            <v>242590000</v>
          </cell>
          <cell r="C123">
            <v>2194740000</v>
          </cell>
          <cell r="D123">
            <v>1952150000</v>
          </cell>
        </row>
        <row r="124">
          <cell r="A124" t="str">
            <v>NPL</v>
          </cell>
          <cell r="B124">
            <v>0</v>
          </cell>
          <cell r="C124">
            <v>0</v>
          </cell>
          <cell r="D124">
            <v>0</v>
          </cell>
        </row>
        <row r="125">
          <cell r="A125" t="str">
            <v>NRU</v>
          </cell>
          <cell r="B125">
            <v>0</v>
          </cell>
          <cell r="C125">
            <v>0</v>
          </cell>
          <cell r="D125">
            <v>0</v>
          </cell>
        </row>
        <row r="126">
          <cell r="A126" t="str">
            <v>NZL</v>
          </cell>
          <cell r="B126">
            <v>-414952000</v>
          </cell>
          <cell r="C126">
            <v>80658708.019319996</v>
          </cell>
          <cell r="D126">
            <v>495610000</v>
          </cell>
        </row>
        <row r="127">
          <cell r="A127" t="str">
            <v>OMN</v>
          </cell>
          <cell r="B127">
            <v>0</v>
          </cell>
          <cell r="C127">
            <v>0</v>
          </cell>
          <cell r="D127">
            <v>0</v>
          </cell>
        </row>
        <row r="128">
          <cell r="A128" t="str">
            <v>PAK</v>
          </cell>
          <cell r="B128">
            <v>58921948</v>
          </cell>
          <cell r="C128">
            <v>0</v>
          </cell>
          <cell r="D128">
            <v>-58921900</v>
          </cell>
        </row>
        <row r="129">
          <cell r="A129" t="str">
            <v>PAN</v>
          </cell>
          <cell r="B129">
            <v>0</v>
          </cell>
          <cell r="C129">
            <v>0</v>
          </cell>
          <cell r="D129">
            <v>0</v>
          </cell>
        </row>
        <row r="130">
          <cell r="A130" t="str">
            <v>PER</v>
          </cell>
          <cell r="B130">
            <v>0</v>
          </cell>
          <cell r="C130">
            <v>0</v>
          </cell>
          <cell r="D130">
            <v>0</v>
          </cell>
        </row>
        <row r="131">
          <cell r="A131" t="str">
            <v>PHL</v>
          </cell>
          <cell r="B131">
            <v>0</v>
          </cell>
          <cell r="C131">
            <v>0</v>
          </cell>
          <cell r="D131">
            <v>0</v>
          </cell>
        </row>
        <row r="132">
          <cell r="A132" t="str">
            <v>PNG</v>
          </cell>
          <cell r="B132">
            <v>0</v>
          </cell>
          <cell r="C132">
            <v>0</v>
          </cell>
          <cell r="D132">
            <v>0</v>
          </cell>
        </row>
        <row r="133">
          <cell r="A133" t="str">
            <v>POL</v>
          </cell>
          <cell r="B133">
            <v>-1971000000</v>
          </cell>
          <cell r="C133">
            <v>669000000</v>
          </cell>
          <cell r="D133">
            <v>2640000000</v>
          </cell>
        </row>
        <row r="134">
          <cell r="A134" t="str">
            <v>PRT</v>
          </cell>
          <cell r="B134">
            <v>-961609000</v>
          </cell>
          <cell r="C134">
            <v>171844000</v>
          </cell>
          <cell r="D134">
            <v>1133450000</v>
          </cell>
        </row>
        <row r="135">
          <cell r="A135" t="str">
            <v>PRY</v>
          </cell>
          <cell r="B135">
            <v>-1000000</v>
          </cell>
          <cell r="C135">
            <v>200000</v>
          </cell>
          <cell r="D135">
            <v>1200000</v>
          </cell>
        </row>
        <row r="136">
          <cell r="A136" t="str">
            <v>QAT</v>
          </cell>
          <cell r="B136">
            <v>0</v>
          </cell>
          <cell r="C136">
            <v>0</v>
          </cell>
          <cell r="D136">
            <v>0</v>
          </cell>
        </row>
        <row r="137">
          <cell r="A137" t="str">
            <v>ROU</v>
          </cell>
          <cell r="B137">
            <v>-661723000</v>
          </cell>
          <cell r="C137">
            <v>49698851.328440003</v>
          </cell>
          <cell r="D137">
            <v>711422000</v>
          </cell>
        </row>
        <row r="138">
          <cell r="A138" t="str">
            <v>RUS</v>
          </cell>
          <cell r="B138">
            <v>-5010930000</v>
          </cell>
          <cell r="C138">
            <v>3381680000</v>
          </cell>
          <cell r="D138">
            <v>8392610000</v>
          </cell>
        </row>
        <row r="139">
          <cell r="A139" t="str">
            <v>RWA</v>
          </cell>
          <cell r="B139">
            <v>0</v>
          </cell>
          <cell r="C139">
            <v>0</v>
          </cell>
          <cell r="D139">
            <v>0</v>
          </cell>
        </row>
        <row r="140">
          <cell r="A140" t="str">
            <v>SAU</v>
          </cell>
          <cell r="B140">
            <v>0</v>
          </cell>
          <cell r="C140">
            <v>0</v>
          </cell>
          <cell r="D140">
            <v>0</v>
          </cell>
        </row>
        <row r="141">
          <cell r="A141" t="str">
            <v>SDN</v>
          </cell>
          <cell r="B141">
            <v>0</v>
          </cell>
          <cell r="C141">
            <v>0</v>
          </cell>
          <cell r="D141">
            <v>0</v>
          </cell>
        </row>
        <row r="142">
          <cell r="A142" t="str">
            <v>SEN</v>
          </cell>
          <cell r="B142">
            <v>0</v>
          </cell>
          <cell r="C142">
            <v>0</v>
          </cell>
          <cell r="D142">
            <v>0</v>
          </cell>
        </row>
        <row r="143">
          <cell r="A143" t="str">
            <v>SGP</v>
          </cell>
          <cell r="B143">
            <v>0</v>
          </cell>
          <cell r="C143">
            <v>0</v>
          </cell>
          <cell r="D143">
            <v>0</v>
          </cell>
        </row>
        <row r="144">
          <cell r="A144" t="str">
            <v>SLB</v>
          </cell>
          <cell r="B144">
            <v>0</v>
          </cell>
          <cell r="C144">
            <v>0</v>
          </cell>
          <cell r="D144">
            <v>0</v>
          </cell>
        </row>
        <row r="145">
          <cell r="A145" t="str">
            <v>SLE</v>
          </cell>
          <cell r="B145">
            <v>0</v>
          </cell>
          <cell r="C145">
            <v>0</v>
          </cell>
          <cell r="D145">
            <v>0</v>
          </cell>
        </row>
        <row r="146">
          <cell r="A146" t="str">
            <v>SLV</v>
          </cell>
          <cell r="B146">
            <v>0</v>
          </cell>
          <cell r="C146">
            <v>0</v>
          </cell>
          <cell r="D146">
            <v>0</v>
          </cell>
        </row>
        <row r="147">
          <cell r="A147" t="str">
            <v>STP</v>
          </cell>
          <cell r="B147">
            <v>0</v>
          </cell>
          <cell r="C147">
            <v>0</v>
          </cell>
          <cell r="D147">
            <v>0</v>
          </cell>
        </row>
        <row r="148">
          <cell r="A148" t="str">
            <v>SUR</v>
          </cell>
          <cell r="B148">
            <v>0</v>
          </cell>
          <cell r="C148">
            <v>0</v>
          </cell>
          <cell r="D148">
            <v>0</v>
          </cell>
        </row>
        <row r="149">
          <cell r="A149" t="str">
            <v>SVK</v>
          </cell>
          <cell r="B149">
            <v>-158164000</v>
          </cell>
          <cell r="C149">
            <v>178771000</v>
          </cell>
          <cell r="D149">
            <v>336935000</v>
          </cell>
        </row>
        <row r="150">
          <cell r="A150" t="str">
            <v>SVN</v>
          </cell>
          <cell r="B150">
            <v>-31470500</v>
          </cell>
          <cell r="C150">
            <v>31863729.863150001</v>
          </cell>
          <cell r="D150">
            <v>63334216.13961</v>
          </cell>
        </row>
        <row r="151">
          <cell r="A151" t="str">
            <v>SWE</v>
          </cell>
          <cell r="B151">
            <v>1711430000</v>
          </cell>
          <cell r="C151">
            <v>3360350000</v>
          </cell>
          <cell r="D151">
            <v>1648920000</v>
          </cell>
        </row>
        <row r="152">
          <cell r="A152" t="str">
            <v>SWZ</v>
          </cell>
          <cell r="B152">
            <v>-1996444.64142</v>
          </cell>
          <cell r="C152">
            <v>2674880.0414200001</v>
          </cell>
          <cell r="D152">
            <v>4671324.6828399999</v>
          </cell>
        </row>
        <row r="153">
          <cell r="A153" t="str">
            <v>SYC</v>
          </cell>
          <cell r="B153">
            <v>-453105.77</v>
          </cell>
          <cell r="C153">
            <v>0</v>
          </cell>
          <cell r="D153">
            <v>453105.77</v>
          </cell>
        </row>
        <row r="154">
          <cell r="A154" t="str">
            <v>TGO</v>
          </cell>
          <cell r="B154">
            <v>0</v>
          </cell>
          <cell r="C154">
            <v>0</v>
          </cell>
          <cell r="D154">
            <v>0</v>
          </cell>
        </row>
        <row r="155">
          <cell r="A155" t="str">
            <v>THA</v>
          </cell>
          <cell r="B155">
            <v>-147203000</v>
          </cell>
          <cell r="C155">
            <v>0</v>
          </cell>
          <cell r="D155">
            <v>147203000</v>
          </cell>
        </row>
        <row r="156">
          <cell r="A156" t="str">
            <v>TJK</v>
          </cell>
          <cell r="B156">
            <v>-14186000</v>
          </cell>
          <cell r="C156">
            <v>0</v>
          </cell>
          <cell r="D156">
            <v>14186000</v>
          </cell>
        </row>
        <row r="157">
          <cell r="A157" t="str">
            <v>TLS</v>
          </cell>
          <cell r="B157">
            <v>0</v>
          </cell>
          <cell r="C157">
            <v>0</v>
          </cell>
          <cell r="D157">
            <v>0</v>
          </cell>
        </row>
        <row r="158">
          <cell r="A158" t="str">
            <v>TON</v>
          </cell>
          <cell r="B158">
            <v>0</v>
          </cell>
          <cell r="C158">
            <v>0</v>
          </cell>
          <cell r="D158">
            <v>0</v>
          </cell>
        </row>
        <row r="159">
          <cell r="A159" t="str">
            <v>TTO</v>
          </cell>
          <cell r="B159">
            <v>0</v>
          </cell>
          <cell r="C159">
            <v>0</v>
          </cell>
          <cell r="D159">
            <v>0</v>
          </cell>
        </row>
        <row r="160">
          <cell r="A160" t="str">
            <v>TUN</v>
          </cell>
          <cell r="B160">
            <v>0</v>
          </cell>
          <cell r="C160">
            <v>0</v>
          </cell>
          <cell r="D160">
            <v>0</v>
          </cell>
        </row>
        <row r="161">
          <cell r="A161" t="str">
            <v>TUR</v>
          </cell>
          <cell r="B161">
            <v>-696000000</v>
          </cell>
          <cell r="C161">
            <v>3000000</v>
          </cell>
          <cell r="D161">
            <v>699000000</v>
          </cell>
        </row>
        <row r="162">
          <cell r="A162" t="str">
            <v>TZA</v>
          </cell>
          <cell r="B162">
            <v>0</v>
          </cell>
          <cell r="C162">
            <v>0</v>
          </cell>
          <cell r="D162">
            <v>0</v>
          </cell>
        </row>
        <row r="163">
          <cell r="A163" t="str">
            <v>UGA</v>
          </cell>
          <cell r="B163">
            <v>-8660622.8088600002</v>
          </cell>
          <cell r="C163">
            <v>0</v>
          </cell>
          <cell r="D163">
            <v>8660622.8088600002</v>
          </cell>
        </row>
        <row r="164">
          <cell r="A164" t="str">
            <v>UKR</v>
          </cell>
          <cell r="B164">
            <v>-497000000</v>
          </cell>
          <cell r="C164">
            <v>4000000</v>
          </cell>
          <cell r="D164">
            <v>501000000</v>
          </cell>
        </row>
        <row r="165">
          <cell r="A165" t="str">
            <v>URY</v>
          </cell>
          <cell r="B165">
            <v>152675000</v>
          </cell>
          <cell r="C165">
            <v>302350000</v>
          </cell>
          <cell r="D165">
            <v>149675000</v>
          </cell>
        </row>
        <row r="166">
          <cell r="A166" t="str">
            <v>USA</v>
          </cell>
          <cell r="B166">
            <v>-26587000000</v>
          </cell>
          <cell r="C166">
            <v>26502000000</v>
          </cell>
          <cell r="D166">
            <v>53089000000</v>
          </cell>
        </row>
        <row r="167">
          <cell r="A167" t="str">
            <v>UZB</v>
          </cell>
          <cell r="B167">
            <v>-41456200</v>
          </cell>
          <cell r="C167">
            <v>2578653.20138</v>
          </cell>
          <cell r="D167">
            <v>44034828.997380003</v>
          </cell>
        </row>
        <row r="168">
          <cell r="A168" t="str">
            <v>VCT</v>
          </cell>
          <cell r="B168">
            <v>0</v>
          </cell>
          <cell r="C168">
            <v>0</v>
          </cell>
          <cell r="D168">
            <v>0</v>
          </cell>
        </row>
        <row r="169">
          <cell r="A169" t="str">
            <v>VNM</v>
          </cell>
          <cell r="B169">
            <v>0</v>
          </cell>
          <cell r="C169">
            <v>0</v>
          </cell>
          <cell r="D169">
            <v>0</v>
          </cell>
        </row>
        <row r="170">
          <cell r="A170" t="str">
            <v>VUT</v>
          </cell>
          <cell r="B170">
            <v>0</v>
          </cell>
          <cell r="C170">
            <v>0</v>
          </cell>
          <cell r="D170">
            <v>0</v>
          </cell>
        </row>
        <row r="171">
          <cell r="A171" t="str">
            <v>WSM</v>
          </cell>
          <cell r="B171">
            <v>0</v>
          </cell>
          <cell r="C171">
            <v>0</v>
          </cell>
          <cell r="D171">
            <v>0</v>
          </cell>
        </row>
        <row r="172">
          <cell r="A172" t="str">
            <v>ZAF</v>
          </cell>
          <cell r="B172">
            <v>354706000</v>
          </cell>
          <cell r="C172">
            <v>520330000</v>
          </cell>
          <cell r="D172">
            <v>165624000</v>
          </cell>
        </row>
        <row r="173">
          <cell r="A173" t="str">
            <v>ZMB</v>
          </cell>
          <cell r="B173">
            <v>-88191200</v>
          </cell>
          <cell r="C173">
            <v>2206328.4583299998</v>
          </cell>
          <cell r="D173">
            <v>90397506.507090002</v>
          </cell>
        </row>
        <row r="174">
          <cell r="A174" t="str">
            <v>Total</v>
          </cell>
          <cell r="B174">
            <v>-37129000000</v>
          </cell>
          <cell r="C174">
            <v>201823000000</v>
          </cell>
          <cell r="D174">
            <v>238952000000</v>
          </cell>
        </row>
      </sheetData>
      <sheetData sheetId="4">
        <row r="1">
          <cell r="A1" t="str">
            <v>Country Name</v>
          </cell>
          <cell r="B1" t="str">
            <v>Sum</v>
          </cell>
          <cell r="C1" t="str">
            <v>Sum</v>
          </cell>
        </row>
        <row r="2">
          <cell r="B2" t="str">
            <v>TotalDI Credit</v>
          </cell>
          <cell r="C2" t="str">
            <v>TotalDI Debit</v>
          </cell>
        </row>
        <row r="3">
          <cell r="A3" t="str">
            <v>Afghanistan, Islamic Rep. of</v>
          </cell>
          <cell r="B3">
            <v>0</v>
          </cell>
          <cell r="C3">
            <v>0</v>
          </cell>
        </row>
        <row r="4">
          <cell r="A4" t="str">
            <v>Albania</v>
          </cell>
          <cell r="B4">
            <v>17372368.388259999</v>
          </cell>
          <cell r="C4">
            <v>475590000</v>
          </cell>
        </row>
        <row r="5">
          <cell r="A5" t="str">
            <v>Angola</v>
          </cell>
          <cell r="B5">
            <v>0</v>
          </cell>
          <cell r="C5">
            <v>0</v>
          </cell>
        </row>
        <row r="6">
          <cell r="A6" t="str">
            <v>Anguilla</v>
          </cell>
          <cell r="B6">
            <v>0</v>
          </cell>
          <cell r="C6">
            <v>0</v>
          </cell>
        </row>
        <row r="7">
          <cell r="A7" t="str">
            <v>Antigua and Barbuda</v>
          </cell>
          <cell r="B7">
            <v>0</v>
          </cell>
          <cell r="C7">
            <v>0</v>
          </cell>
        </row>
        <row r="8">
          <cell r="A8" t="str">
            <v>Argentina</v>
          </cell>
          <cell r="B8">
            <v>1335970000</v>
          </cell>
          <cell r="C8">
            <v>6671760000</v>
          </cell>
        </row>
        <row r="9">
          <cell r="A9" t="str">
            <v>Armenia, Rep. of</v>
          </cell>
          <cell r="B9">
            <v>11328432.6798</v>
          </cell>
          <cell r="C9">
            <v>195059000</v>
          </cell>
        </row>
        <row r="10">
          <cell r="A10" t="str">
            <v>Aruba, Kingdom of the Netherlands</v>
          </cell>
          <cell r="B10">
            <v>0</v>
          </cell>
          <cell r="C10">
            <v>0</v>
          </cell>
        </row>
        <row r="11">
          <cell r="A11" t="str">
            <v>Australia</v>
          </cell>
          <cell r="B11">
            <v>0</v>
          </cell>
          <cell r="C11">
            <v>0</v>
          </cell>
        </row>
        <row r="12">
          <cell r="A12" t="str">
            <v>Austria</v>
          </cell>
          <cell r="B12">
            <v>16511100000</v>
          </cell>
          <cell r="C12">
            <v>14885100000</v>
          </cell>
        </row>
        <row r="13">
          <cell r="A13" t="str">
            <v>Azerbaijan, Rep. of</v>
          </cell>
          <cell r="B13">
            <v>438762000</v>
          </cell>
          <cell r="C13">
            <v>2600980000</v>
          </cell>
        </row>
        <row r="14">
          <cell r="A14" t="str">
            <v>Bahamas, The</v>
          </cell>
          <cell r="B14">
            <v>0</v>
          </cell>
          <cell r="C14">
            <v>0</v>
          </cell>
        </row>
        <row r="15">
          <cell r="A15" t="str">
            <v>Bahrain, Kingdom of</v>
          </cell>
          <cell r="B15">
            <v>0</v>
          </cell>
          <cell r="C15">
            <v>0</v>
          </cell>
        </row>
        <row r="16">
          <cell r="A16" t="str">
            <v>Bangladesh</v>
          </cell>
          <cell r="B16">
            <v>7998639.3416600004</v>
          </cell>
          <cell r="C16">
            <v>1690930000</v>
          </cell>
        </row>
        <row r="17">
          <cell r="A17" t="str">
            <v>Belarus, Rep. of</v>
          </cell>
          <cell r="B17">
            <v>81300000</v>
          </cell>
          <cell r="C17">
            <v>1779900000</v>
          </cell>
        </row>
        <row r="18">
          <cell r="A18" t="str">
            <v>Belgium</v>
          </cell>
          <cell r="B18">
            <v>39649300000</v>
          </cell>
          <cell r="C18">
            <v>45521200000</v>
          </cell>
        </row>
        <row r="19">
          <cell r="A19" t="str">
            <v>Belize</v>
          </cell>
          <cell r="B19">
            <v>0</v>
          </cell>
          <cell r="C19">
            <v>0</v>
          </cell>
        </row>
        <row r="20">
          <cell r="A20" t="str">
            <v>Benin</v>
          </cell>
          <cell r="B20">
            <v>0</v>
          </cell>
          <cell r="C20">
            <v>0</v>
          </cell>
        </row>
        <row r="21">
          <cell r="A21" t="str">
            <v>Bermuda</v>
          </cell>
          <cell r="B21">
            <v>0</v>
          </cell>
          <cell r="C21">
            <v>0</v>
          </cell>
        </row>
        <row r="22">
          <cell r="A22" t="str">
            <v>Bhutan</v>
          </cell>
          <cell r="B22">
            <v>0</v>
          </cell>
          <cell r="C22">
            <v>0</v>
          </cell>
        </row>
        <row r="23">
          <cell r="A23" t="str">
            <v>Bolivia</v>
          </cell>
          <cell r="B23">
            <v>-150962.88961000001</v>
          </cell>
          <cell r="C23">
            <v>559932000</v>
          </cell>
        </row>
        <row r="24">
          <cell r="A24" t="str">
            <v>Bosnia and Herzegovina</v>
          </cell>
          <cell r="B24">
            <v>4685365.9669199996</v>
          </cell>
          <cell r="C24">
            <v>512183000</v>
          </cell>
        </row>
        <row r="25">
          <cell r="A25" t="str">
            <v>Botswana</v>
          </cell>
          <cell r="B25">
            <v>0</v>
          </cell>
          <cell r="C25">
            <v>0</v>
          </cell>
        </row>
        <row r="26">
          <cell r="A26" t="str">
            <v>Brazil</v>
          </cell>
          <cell r="B26">
            <v>17075800000</v>
          </cell>
          <cell r="C26">
            <v>53114200000</v>
          </cell>
        </row>
        <row r="27">
          <cell r="A27" t="str">
            <v>Brunei Darussalam</v>
          </cell>
          <cell r="B27">
            <v>0</v>
          </cell>
          <cell r="C27">
            <v>0</v>
          </cell>
        </row>
        <row r="28">
          <cell r="A28" t="str">
            <v>Bulgaria</v>
          </cell>
          <cell r="B28">
            <v>137970000</v>
          </cell>
          <cell r="C28">
            <v>2771280000</v>
          </cell>
        </row>
        <row r="29">
          <cell r="A29" t="str">
            <v>Burkina Faso</v>
          </cell>
          <cell r="B29">
            <v>0</v>
          </cell>
          <cell r="C29">
            <v>0</v>
          </cell>
        </row>
        <row r="30">
          <cell r="A30" t="str">
            <v>Burundi</v>
          </cell>
          <cell r="B30">
            <v>0</v>
          </cell>
          <cell r="C30">
            <v>0</v>
          </cell>
        </row>
        <row r="31">
          <cell r="A31" t="str">
            <v>Cabo Verde</v>
          </cell>
          <cell r="B31">
            <v>1039439.27627</v>
          </cell>
          <cell r="C31">
            <v>25482205.19334</v>
          </cell>
        </row>
        <row r="32">
          <cell r="A32" t="str">
            <v>Cambodia</v>
          </cell>
          <cell r="B32">
            <v>0</v>
          </cell>
          <cell r="C32">
            <v>0</v>
          </cell>
        </row>
        <row r="33">
          <cell r="A33" t="str">
            <v>Cameroon</v>
          </cell>
          <cell r="B33">
            <v>0</v>
          </cell>
          <cell r="C33">
            <v>0</v>
          </cell>
        </row>
        <row r="34">
          <cell r="A34" t="str">
            <v>Canada</v>
          </cell>
          <cell r="B34">
            <v>64026300000</v>
          </cell>
          <cell r="C34">
            <v>41551800000</v>
          </cell>
        </row>
        <row r="35">
          <cell r="A35" t="str">
            <v>Chile</v>
          </cell>
          <cell r="B35">
            <v>0</v>
          </cell>
          <cell r="C35">
            <v>0</v>
          </cell>
        </row>
        <row r="36">
          <cell r="A36" t="str">
            <v>China, P.R.: Hong Kong</v>
          </cell>
          <cell r="B36">
            <v>137467000000</v>
          </cell>
          <cell r="C36">
            <v>154250000000</v>
          </cell>
        </row>
        <row r="37">
          <cell r="A37" t="str">
            <v>China, P.R.: Macao</v>
          </cell>
          <cell r="B37">
            <v>0</v>
          </cell>
          <cell r="C37">
            <v>0</v>
          </cell>
        </row>
        <row r="38">
          <cell r="A38" t="str">
            <v>China, P.R.: Mainland</v>
          </cell>
          <cell r="B38">
            <v>0</v>
          </cell>
          <cell r="C38">
            <v>0</v>
          </cell>
        </row>
        <row r="39">
          <cell r="A39" t="str">
            <v>Colombia</v>
          </cell>
          <cell r="B39">
            <v>4514780000</v>
          </cell>
          <cell r="C39">
            <v>9784440000</v>
          </cell>
        </row>
        <row r="40">
          <cell r="A40" t="str">
            <v>Comoros, Union of the</v>
          </cell>
          <cell r="B40">
            <v>0</v>
          </cell>
          <cell r="C40">
            <v>0</v>
          </cell>
        </row>
        <row r="41">
          <cell r="A41" t="str">
            <v>Congo, Dem. Rep. of the</v>
          </cell>
          <cell r="B41">
            <v>0</v>
          </cell>
          <cell r="C41">
            <v>0</v>
          </cell>
        </row>
        <row r="42">
          <cell r="A42" t="str">
            <v>Costa Rica</v>
          </cell>
          <cell r="B42">
            <v>135161000</v>
          </cell>
          <cell r="C42">
            <v>3023940000</v>
          </cell>
        </row>
        <row r="43">
          <cell r="A43" t="str">
            <v>Croatia, Rep. of</v>
          </cell>
          <cell r="B43">
            <v>221167000</v>
          </cell>
          <cell r="C43">
            <v>2321500000</v>
          </cell>
        </row>
        <row r="44">
          <cell r="A44" t="str">
            <v>CuraÃ§ao and Sint Maarten</v>
          </cell>
          <cell r="B44">
            <v>0</v>
          </cell>
          <cell r="C44">
            <v>0</v>
          </cell>
        </row>
        <row r="45">
          <cell r="A45" t="str">
            <v>CuraÃ§ao, Kingdom of the Netherlands</v>
          </cell>
          <cell r="B45">
            <v>0</v>
          </cell>
          <cell r="C45">
            <v>0</v>
          </cell>
        </row>
        <row r="46">
          <cell r="A46" t="str">
            <v>Cyprus</v>
          </cell>
          <cell r="B46">
            <v>9337680000</v>
          </cell>
          <cell r="C46">
            <v>9757650000</v>
          </cell>
        </row>
        <row r="47">
          <cell r="A47" t="str">
            <v>Czech Rep.</v>
          </cell>
          <cell r="B47">
            <v>4851100000</v>
          </cell>
          <cell r="C47">
            <v>20970000000</v>
          </cell>
        </row>
        <row r="48">
          <cell r="A48" t="str">
            <v>CÃ´te d'Ivoire</v>
          </cell>
          <cell r="B48">
            <v>0</v>
          </cell>
          <cell r="C48">
            <v>0</v>
          </cell>
        </row>
        <row r="49">
          <cell r="A49" t="str">
            <v>Denmark</v>
          </cell>
          <cell r="B49">
            <v>14011500000</v>
          </cell>
          <cell r="C49">
            <v>6476380000</v>
          </cell>
        </row>
        <row r="50">
          <cell r="A50" t="str">
            <v>Djibouti</v>
          </cell>
          <cell r="B50">
            <v>0</v>
          </cell>
          <cell r="C50">
            <v>0</v>
          </cell>
        </row>
        <row r="51">
          <cell r="A51" t="str">
            <v>Dominica</v>
          </cell>
          <cell r="B51">
            <v>0</v>
          </cell>
          <cell r="C51">
            <v>0</v>
          </cell>
        </row>
        <row r="52">
          <cell r="A52" t="str">
            <v>Dominican Rep.</v>
          </cell>
          <cell r="B52">
            <v>0</v>
          </cell>
          <cell r="C52">
            <v>2915600000</v>
          </cell>
        </row>
        <row r="53">
          <cell r="A53" t="str">
            <v>Ecuador</v>
          </cell>
          <cell r="B53">
            <v>0</v>
          </cell>
          <cell r="C53">
            <v>391282000</v>
          </cell>
        </row>
        <row r="54">
          <cell r="A54" t="str">
            <v>Egypt, Arab Rep. of</v>
          </cell>
          <cell r="B54">
            <v>0</v>
          </cell>
          <cell r="C54">
            <v>0</v>
          </cell>
        </row>
        <row r="55">
          <cell r="A55" t="str">
            <v>El Salvador</v>
          </cell>
          <cell r="B55">
            <v>474392.79819</v>
          </cell>
          <cell r="C55">
            <v>820983000</v>
          </cell>
        </row>
        <row r="56">
          <cell r="A56" t="str">
            <v>Estonia, Rep. of</v>
          </cell>
          <cell r="B56">
            <v>712146000</v>
          </cell>
          <cell r="C56">
            <v>1945610000</v>
          </cell>
        </row>
        <row r="57">
          <cell r="A57" t="str">
            <v>Eswatini, Kingdom of</v>
          </cell>
          <cell r="B57">
            <v>5524070.3964999998</v>
          </cell>
          <cell r="C57">
            <v>499891000</v>
          </cell>
        </row>
        <row r="58">
          <cell r="A58" t="str">
            <v>Ethiopia, The Federal Dem. Rep. of</v>
          </cell>
          <cell r="B58">
            <v>0</v>
          </cell>
          <cell r="C58">
            <v>0</v>
          </cell>
        </row>
        <row r="59">
          <cell r="A59" t="str">
            <v>Fiji, Rep. of</v>
          </cell>
          <cell r="B59">
            <v>0</v>
          </cell>
          <cell r="C59">
            <v>459299000</v>
          </cell>
        </row>
        <row r="60">
          <cell r="A60" t="str">
            <v>Finland</v>
          </cell>
          <cell r="B60">
            <v>10609000000</v>
          </cell>
          <cell r="C60">
            <v>7544080000</v>
          </cell>
        </row>
        <row r="61">
          <cell r="A61" t="str">
            <v>France</v>
          </cell>
          <cell r="B61">
            <v>89867200000</v>
          </cell>
          <cell r="C61">
            <v>36451500000</v>
          </cell>
        </row>
        <row r="62">
          <cell r="A62" t="str">
            <v>Gambia, The</v>
          </cell>
          <cell r="B62">
            <v>0</v>
          </cell>
          <cell r="C62">
            <v>0</v>
          </cell>
        </row>
        <row r="63">
          <cell r="A63" t="str">
            <v>Georgia</v>
          </cell>
          <cell r="B63">
            <v>252166000</v>
          </cell>
          <cell r="C63">
            <v>1307030000</v>
          </cell>
        </row>
        <row r="64">
          <cell r="A64" t="str">
            <v>Germany</v>
          </cell>
          <cell r="B64">
            <v>130789000000</v>
          </cell>
          <cell r="C64">
            <v>61919700000</v>
          </cell>
        </row>
        <row r="65">
          <cell r="A65" t="str">
            <v>Ghana</v>
          </cell>
          <cell r="B65">
            <v>0</v>
          </cell>
          <cell r="C65">
            <v>0</v>
          </cell>
        </row>
        <row r="66">
          <cell r="A66" t="str">
            <v>Greece</v>
          </cell>
          <cell r="B66">
            <v>727912000</v>
          </cell>
          <cell r="C66">
            <v>1474370000</v>
          </cell>
        </row>
        <row r="67">
          <cell r="A67" t="str">
            <v>Grenada</v>
          </cell>
          <cell r="B67">
            <v>0</v>
          </cell>
          <cell r="C67">
            <v>0</v>
          </cell>
        </row>
        <row r="68">
          <cell r="A68" t="str">
            <v>Guatemala</v>
          </cell>
          <cell r="B68">
            <v>210585000</v>
          </cell>
          <cell r="C68">
            <v>1301940000</v>
          </cell>
        </row>
        <row r="69">
          <cell r="A69" t="str">
            <v>Guinea</v>
          </cell>
          <cell r="B69">
            <v>0</v>
          </cell>
          <cell r="C69">
            <v>0</v>
          </cell>
        </row>
        <row r="70">
          <cell r="A70" t="str">
            <v>Guinea-Bissau</v>
          </cell>
          <cell r="B70">
            <v>0</v>
          </cell>
          <cell r="C70">
            <v>0</v>
          </cell>
        </row>
        <row r="71">
          <cell r="A71" t="str">
            <v>Guyana</v>
          </cell>
          <cell r="B71">
            <v>0</v>
          </cell>
          <cell r="C71">
            <v>0</v>
          </cell>
        </row>
        <row r="72">
          <cell r="A72" t="str">
            <v>Haiti</v>
          </cell>
          <cell r="B72">
            <v>0</v>
          </cell>
          <cell r="C72">
            <v>0</v>
          </cell>
        </row>
        <row r="73">
          <cell r="A73" t="str">
            <v>Honduras</v>
          </cell>
          <cell r="B73">
            <v>2100000</v>
          </cell>
          <cell r="C73">
            <v>1345830000</v>
          </cell>
        </row>
        <row r="74">
          <cell r="A74" t="str">
            <v>Hungary</v>
          </cell>
          <cell r="B74">
            <v>9524690000</v>
          </cell>
          <cell r="C74">
            <v>18184100000</v>
          </cell>
        </row>
        <row r="75">
          <cell r="A75" t="str">
            <v>Iceland</v>
          </cell>
          <cell r="B75">
            <v>365301000</v>
          </cell>
          <cell r="C75">
            <v>-210544000</v>
          </cell>
        </row>
        <row r="76">
          <cell r="A76" t="str">
            <v>India</v>
          </cell>
          <cell r="B76">
            <v>6151200000</v>
          </cell>
          <cell r="C76">
            <v>22314000000</v>
          </cell>
        </row>
        <row r="77">
          <cell r="A77" t="str">
            <v>Indonesia</v>
          </cell>
          <cell r="B77">
            <v>3410590000</v>
          </cell>
          <cell r="C77">
            <v>21690900000</v>
          </cell>
        </row>
        <row r="78">
          <cell r="A78" t="str">
            <v>Iraq</v>
          </cell>
          <cell r="B78">
            <v>0</v>
          </cell>
          <cell r="C78">
            <v>0</v>
          </cell>
        </row>
        <row r="79">
          <cell r="A79" t="str">
            <v>Ireland</v>
          </cell>
          <cell r="B79">
            <v>19526500000</v>
          </cell>
          <cell r="C79">
            <v>98435600000</v>
          </cell>
        </row>
        <row r="80">
          <cell r="A80" t="str">
            <v>Israel</v>
          </cell>
          <cell r="B80">
            <v>7022300000</v>
          </cell>
          <cell r="C80">
            <v>6623600000</v>
          </cell>
        </row>
        <row r="81">
          <cell r="A81" t="str">
            <v>Italy</v>
          </cell>
          <cell r="B81">
            <v>25231800000</v>
          </cell>
          <cell r="C81">
            <v>14553000000</v>
          </cell>
        </row>
        <row r="82">
          <cell r="A82" t="str">
            <v>Jamaica</v>
          </cell>
          <cell r="B82">
            <v>0</v>
          </cell>
          <cell r="C82">
            <v>0</v>
          </cell>
        </row>
        <row r="83">
          <cell r="A83" t="str">
            <v>Japan</v>
          </cell>
          <cell r="B83">
            <v>132346000000</v>
          </cell>
          <cell r="C83">
            <v>34860500000</v>
          </cell>
        </row>
        <row r="84">
          <cell r="A84" t="str">
            <v>Jordan</v>
          </cell>
          <cell r="B84">
            <v>0</v>
          </cell>
          <cell r="C84">
            <v>0</v>
          </cell>
        </row>
        <row r="85">
          <cell r="A85" t="str">
            <v>Kazakhstan, Rep. of</v>
          </cell>
          <cell r="B85">
            <v>653469000</v>
          </cell>
          <cell r="C85">
            <v>20793100000</v>
          </cell>
        </row>
        <row r="86">
          <cell r="A86" t="str">
            <v>Kiribati</v>
          </cell>
          <cell r="B86">
            <v>0</v>
          </cell>
          <cell r="C86">
            <v>0</v>
          </cell>
        </row>
        <row r="87">
          <cell r="A87" t="str">
            <v>Korea, Rep. of</v>
          </cell>
          <cell r="B87">
            <v>17606700000</v>
          </cell>
          <cell r="C87">
            <v>13755200000</v>
          </cell>
        </row>
        <row r="88">
          <cell r="A88" t="str">
            <v>Kosovo, Rep. of</v>
          </cell>
          <cell r="B88">
            <v>2368536.0776</v>
          </cell>
          <cell r="C88">
            <v>108968000</v>
          </cell>
        </row>
        <row r="89">
          <cell r="A89" t="str">
            <v>Kuwait</v>
          </cell>
          <cell r="B89">
            <v>0</v>
          </cell>
          <cell r="C89">
            <v>0</v>
          </cell>
        </row>
        <row r="90">
          <cell r="A90" t="str">
            <v>Kyrgyz Rep.</v>
          </cell>
          <cell r="B90">
            <v>0</v>
          </cell>
          <cell r="C90">
            <v>0</v>
          </cell>
        </row>
        <row r="91">
          <cell r="A91" t="str">
            <v>Lao People's Dem. Rep.</v>
          </cell>
          <cell r="B91">
            <v>0</v>
          </cell>
          <cell r="C91">
            <v>0</v>
          </cell>
        </row>
        <row r="92">
          <cell r="A92" t="str">
            <v>Latvia</v>
          </cell>
          <cell r="B92">
            <v>141511000</v>
          </cell>
          <cell r="C92">
            <v>1650890000</v>
          </cell>
        </row>
        <row r="93">
          <cell r="A93" t="str">
            <v>Lebanon</v>
          </cell>
          <cell r="B93">
            <v>0</v>
          </cell>
          <cell r="C93">
            <v>0</v>
          </cell>
        </row>
        <row r="94">
          <cell r="A94" t="str">
            <v>Lesotho, Kingdom of</v>
          </cell>
          <cell r="B94">
            <v>0</v>
          </cell>
          <cell r="C94">
            <v>110427000</v>
          </cell>
        </row>
        <row r="95">
          <cell r="A95" t="str">
            <v>Liberia</v>
          </cell>
          <cell r="B95">
            <v>0</v>
          </cell>
          <cell r="C95">
            <v>0</v>
          </cell>
        </row>
        <row r="96">
          <cell r="A96" t="str">
            <v>Libya</v>
          </cell>
          <cell r="B96">
            <v>0</v>
          </cell>
          <cell r="C96">
            <v>0</v>
          </cell>
        </row>
        <row r="97">
          <cell r="A97" t="str">
            <v>Lithuania</v>
          </cell>
          <cell r="B97">
            <v>256466000</v>
          </cell>
          <cell r="C97">
            <v>2033000000</v>
          </cell>
        </row>
        <row r="98">
          <cell r="A98" t="str">
            <v>Luxembourg</v>
          </cell>
          <cell r="B98">
            <v>119432000000</v>
          </cell>
          <cell r="C98">
            <v>91042400000</v>
          </cell>
        </row>
        <row r="99">
          <cell r="A99" t="str">
            <v>Madagascar, Rep. of</v>
          </cell>
          <cell r="B99">
            <v>0</v>
          </cell>
          <cell r="C99">
            <v>0</v>
          </cell>
        </row>
        <row r="100">
          <cell r="A100" t="str">
            <v>Malawi</v>
          </cell>
          <cell r="B100">
            <v>0</v>
          </cell>
          <cell r="C100">
            <v>0</v>
          </cell>
        </row>
        <row r="101">
          <cell r="A101" t="str">
            <v>Malaysia</v>
          </cell>
          <cell r="B101">
            <v>0</v>
          </cell>
          <cell r="C101">
            <v>0</v>
          </cell>
        </row>
        <row r="102">
          <cell r="A102" t="str">
            <v>Maldives</v>
          </cell>
          <cell r="B102">
            <v>0</v>
          </cell>
          <cell r="C102">
            <v>0</v>
          </cell>
        </row>
        <row r="103">
          <cell r="A103" t="str">
            <v>Mali</v>
          </cell>
          <cell r="B103">
            <v>0</v>
          </cell>
          <cell r="C103">
            <v>0</v>
          </cell>
        </row>
        <row r="104">
          <cell r="A104" t="str">
            <v>Malta</v>
          </cell>
          <cell r="B104">
            <v>55546035.842210002</v>
          </cell>
          <cell r="C104">
            <v>10408100000</v>
          </cell>
        </row>
        <row r="105">
          <cell r="A105" t="str">
            <v>Marshall Islands, Rep. of the</v>
          </cell>
          <cell r="B105">
            <v>0</v>
          </cell>
          <cell r="C105">
            <v>0</v>
          </cell>
        </row>
        <row r="106">
          <cell r="A106" t="str">
            <v>Mauritania, Islamic Rep. of</v>
          </cell>
          <cell r="B106">
            <v>0</v>
          </cell>
          <cell r="C106">
            <v>0</v>
          </cell>
        </row>
        <row r="107">
          <cell r="A107" t="str">
            <v>Mauritius</v>
          </cell>
          <cell r="B107">
            <v>0</v>
          </cell>
          <cell r="C107">
            <v>0</v>
          </cell>
        </row>
        <row r="108">
          <cell r="A108" t="str">
            <v>Mexico</v>
          </cell>
          <cell r="B108">
            <v>5513140000</v>
          </cell>
          <cell r="C108">
            <v>24188900000</v>
          </cell>
        </row>
        <row r="109">
          <cell r="A109" t="str">
            <v>Moldova, Rep. of</v>
          </cell>
          <cell r="B109">
            <v>10750000</v>
          </cell>
          <cell r="C109">
            <v>314400000</v>
          </cell>
        </row>
        <row r="110">
          <cell r="A110" t="str">
            <v>Mongolia</v>
          </cell>
          <cell r="B110">
            <v>2806316.8313799999</v>
          </cell>
          <cell r="C110">
            <v>976523000</v>
          </cell>
        </row>
        <row r="111">
          <cell r="A111" t="str">
            <v>Montenegro</v>
          </cell>
          <cell r="B111">
            <v>15126629.910399999</v>
          </cell>
          <cell r="C111">
            <v>68299523.423270002</v>
          </cell>
        </row>
        <row r="112">
          <cell r="A112" t="str">
            <v>Montserrat</v>
          </cell>
          <cell r="B112">
            <v>0</v>
          </cell>
          <cell r="C112">
            <v>0</v>
          </cell>
        </row>
        <row r="113">
          <cell r="A113" t="str">
            <v>Morocco</v>
          </cell>
          <cell r="B113">
            <v>478983000</v>
          </cell>
          <cell r="C113">
            <v>1761720000</v>
          </cell>
        </row>
        <row r="114">
          <cell r="A114" t="str">
            <v>Mozambique, Rep. of</v>
          </cell>
          <cell r="B114">
            <v>0</v>
          </cell>
          <cell r="C114">
            <v>0</v>
          </cell>
        </row>
        <row r="115">
          <cell r="A115" t="str">
            <v>Myanmar</v>
          </cell>
          <cell r="B115">
            <v>0</v>
          </cell>
          <cell r="C115">
            <v>0</v>
          </cell>
        </row>
        <row r="116">
          <cell r="A116" t="str">
            <v>Namibia</v>
          </cell>
          <cell r="B116">
            <v>-1480951.82351</v>
          </cell>
          <cell r="C116">
            <v>346829000</v>
          </cell>
        </row>
        <row r="117">
          <cell r="A117" t="str">
            <v>Nauru, Rep. of</v>
          </cell>
          <cell r="B117">
            <v>0</v>
          </cell>
          <cell r="C117">
            <v>0</v>
          </cell>
        </row>
        <row r="118">
          <cell r="A118" t="str">
            <v>Nepal</v>
          </cell>
          <cell r="B118">
            <v>0</v>
          </cell>
          <cell r="C118">
            <v>0</v>
          </cell>
        </row>
        <row r="119">
          <cell r="A119" t="str">
            <v>Netherlands, The</v>
          </cell>
          <cell r="B119">
            <v>275164000000</v>
          </cell>
          <cell r="C119">
            <v>234372000000</v>
          </cell>
        </row>
        <row r="120">
          <cell r="A120" t="str">
            <v>New Zealand</v>
          </cell>
          <cell r="B120">
            <v>694737000</v>
          </cell>
          <cell r="C120">
            <v>5998730000</v>
          </cell>
        </row>
        <row r="121">
          <cell r="A121" t="str">
            <v>Nicaragua</v>
          </cell>
          <cell r="B121">
            <v>0</v>
          </cell>
          <cell r="C121">
            <v>0</v>
          </cell>
        </row>
        <row r="122">
          <cell r="A122" t="str">
            <v>Niger</v>
          </cell>
          <cell r="B122">
            <v>0</v>
          </cell>
          <cell r="C122">
            <v>0</v>
          </cell>
        </row>
        <row r="123">
          <cell r="A123" t="str">
            <v>Nigeria</v>
          </cell>
          <cell r="B123">
            <v>0</v>
          </cell>
          <cell r="C123">
            <v>0</v>
          </cell>
        </row>
        <row r="124">
          <cell r="A124" t="str">
            <v>North Macedonia, Republic of</v>
          </cell>
          <cell r="B124">
            <v>17624177.91102</v>
          </cell>
          <cell r="C124">
            <v>509944000</v>
          </cell>
        </row>
        <row r="125">
          <cell r="A125" t="str">
            <v>Norway</v>
          </cell>
          <cell r="B125">
            <v>9127300000</v>
          </cell>
          <cell r="C125">
            <v>10689300000</v>
          </cell>
        </row>
        <row r="126">
          <cell r="A126" t="str">
            <v>Oman</v>
          </cell>
          <cell r="B126">
            <v>0</v>
          </cell>
          <cell r="C126">
            <v>0</v>
          </cell>
        </row>
        <row r="127">
          <cell r="A127" t="str">
            <v>Pakistan</v>
          </cell>
          <cell r="B127">
            <v>81000000</v>
          </cell>
          <cell r="C127">
            <v>3165000000</v>
          </cell>
        </row>
        <row r="128">
          <cell r="A128" t="str">
            <v>Panama</v>
          </cell>
          <cell r="B128">
            <v>235669000</v>
          </cell>
          <cell r="C128">
            <v>3546200000</v>
          </cell>
        </row>
        <row r="129">
          <cell r="A129" t="str">
            <v>Papua New Guinea</v>
          </cell>
          <cell r="B129">
            <v>0</v>
          </cell>
          <cell r="C129">
            <v>0</v>
          </cell>
        </row>
        <row r="130">
          <cell r="A130" t="str">
            <v>Paraguay</v>
          </cell>
          <cell r="B130">
            <v>200000</v>
          </cell>
          <cell r="C130">
            <v>863901000</v>
          </cell>
        </row>
        <row r="131">
          <cell r="A131" t="str">
            <v>Peru</v>
          </cell>
          <cell r="B131">
            <v>0</v>
          </cell>
          <cell r="C131">
            <v>0</v>
          </cell>
        </row>
        <row r="132">
          <cell r="A132" t="str">
            <v>Philippines</v>
          </cell>
          <cell r="B132">
            <v>0</v>
          </cell>
          <cell r="C132">
            <v>0</v>
          </cell>
        </row>
        <row r="133">
          <cell r="A133" t="str">
            <v>Poland, Rep. of</v>
          </cell>
          <cell r="B133">
            <v>1571000000</v>
          </cell>
          <cell r="C133">
            <v>25762000000</v>
          </cell>
        </row>
        <row r="134">
          <cell r="A134" t="str">
            <v>Portugal</v>
          </cell>
          <cell r="B134">
            <v>3605460000</v>
          </cell>
          <cell r="C134">
            <v>7934120000</v>
          </cell>
        </row>
        <row r="135">
          <cell r="A135" t="str">
            <v>Qatar</v>
          </cell>
          <cell r="B135">
            <v>0</v>
          </cell>
          <cell r="C135">
            <v>0</v>
          </cell>
        </row>
        <row r="136">
          <cell r="A136" t="str">
            <v>Romania</v>
          </cell>
          <cell r="B136">
            <v>49698851.328440003</v>
          </cell>
          <cell r="C136">
            <v>7373850000</v>
          </cell>
        </row>
        <row r="137">
          <cell r="A137" t="str">
            <v>Russian Federation</v>
          </cell>
          <cell r="B137">
            <v>35506000000</v>
          </cell>
          <cell r="C137">
            <v>71008000000</v>
          </cell>
        </row>
        <row r="138">
          <cell r="A138" t="str">
            <v>Rwanda</v>
          </cell>
          <cell r="B138">
            <v>0</v>
          </cell>
          <cell r="C138">
            <v>0</v>
          </cell>
        </row>
        <row r="139">
          <cell r="A139" t="str">
            <v>Samoa</v>
          </cell>
          <cell r="B139">
            <v>0</v>
          </cell>
          <cell r="C139">
            <v>0</v>
          </cell>
        </row>
        <row r="140">
          <cell r="A140" t="str">
            <v>Saudi Arabia</v>
          </cell>
          <cell r="B140">
            <v>5097910000</v>
          </cell>
          <cell r="C140">
            <v>3734080000</v>
          </cell>
        </row>
        <row r="141">
          <cell r="A141" t="str">
            <v>Senegal</v>
          </cell>
          <cell r="B141">
            <v>0</v>
          </cell>
          <cell r="C141">
            <v>0</v>
          </cell>
        </row>
        <row r="142">
          <cell r="A142" t="str">
            <v>Serbia, Rep. of</v>
          </cell>
          <cell r="B142">
            <v>213794000</v>
          </cell>
          <cell r="C142">
            <v>2663620000</v>
          </cell>
        </row>
        <row r="143">
          <cell r="A143" t="str">
            <v>Seychelles</v>
          </cell>
          <cell r="B143">
            <v>985393.95027999999</v>
          </cell>
          <cell r="C143">
            <v>63096974.085490003</v>
          </cell>
        </row>
        <row r="144">
          <cell r="A144" t="str">
            <v>Sierra Leone</v>
          </cell>
          <cell r="B144">
            <v>0</v>
          </cell>
          <cell r="C144">
            <v>0</v>
          </cell>
        </row>
        <row r="145">
          <cell r="A145" t="str">
            <v>Singapore</v>
          </cell>
          <cell r="B145">
            <v>0</v>
          </cell>
          <cell r="C145">
            <v>0</v>
          </cell>
        </row>
        <row r="146">
          <cell r="A146" t="str">
            <v>Sint Maarten, Kingdom of the Netherlands</v>
          </cell>
          <cell r="B146">
            <v>0</v>
          </cell>
          <cell r="C146">
            <v>0</v>
          </cell>
        </row>
        <row r="147">
          <cell r="A147" t="str">
            <v>Slovak Rep.</v>
          </cell>
          <cell r="B147">
            <v>525856000</v>
          </cell>
          <cell r="C147">
            <v>4815450000</v>
          </cell>
        </row>
        <row r="148">
          <cell r="A148" t="str">
            <v>Slovenia, Rep. of</v>
          </cell>
          <cell r="B148">
            <v>263104000</v>
          </cell>
          <cell r="C148">
            <v>1271250000</v>
          </cell>
        </row>
        <row r="149">
          <cell r="A149" t="str">
            <v>Solomon Islands</v>
          </cell>
          <cell r="B149">
            <v>0</v>
          </cell>
          <cell r="C149">
            <v>0</v>
          </cell>
        </row>
        <row r="150">
          <cell r="A150" t="str">
            <v>South Africa</v>
          </cell>
          <cell r="B150">
            <v>3577630000</v>
          </cell>
          <cell r="C150">
            <v>6615100000</v>
          </cell>
        </row>
        <row r="151">
          <cell r="A151" t="str">
            <v>South Sudan, Rep. of</v>
          </cell>
          <cell r="B151">
            <v>0</v>
          </cell>
          <cell r="C151">
            <v>0</v>
          </cell>
        </row>
        <row r="152">
          <cell r="A152" t="str">
            <v>Spain</v>
          </cell>
          <cell r="B152">
            <v>37318900000</v>
          </cell>
          <cell r="C152">
            <v>27321400000</v>
          </cell>
        </row>
        <row r="153">
          <cell r="A153" t="str">
            <v>Sri Lanka</v>
          </cell>
          <cell r="B153">
            <v>0</v>
          </cell>
          <cell r="C153">
            <v>0</v>
          </cell>
        </row>
        <row r="154">
          <cell r="A154" t="str">
            <v>St. Kitts and Nevis</v>
          </cell>
          <cell r="B154">
            <v>0</v>
          </cell>
          <cell r="C154">
            <v>0</v>
          </cell>
        </row>
        <row r="155">
          <cell r="A155" t="str">
            <v>St. Lucia</v>
          </cell>
          <cell r="B155">
            <v>0</v>
          </cell>
          <cell r="C155">
            <v>0</v>
          </cell>
        </row>
        <row r="156">
          <cell r="A156" t="str">
            <v>St. Vincent and the Grenadines</v>
          </cell>
          <cell r="B156">
            <v>0</v>
          </cell>
          <cell r="C156">
            <v>0</v>
          </cell>
        </row>
        <row r="157">
          <cell r="A157" t="str">
            <v>Sudan</v>
          </cell>
          <cell r="B157">
            <v>0</v>
          </cell>
          <cell r="C157">
            <v>0</v>
          </cell>
        </row>
        <row r="158">
          <cell r="A158" t="str">
            <v>Suriname</v>
          </cell>
          <cell r="B158">
            <v>0</v>
          </cell>
          <cell r="C158">
            <v>269272000</v>
          </cell>
        </row>
        <row r="159">
          <cell r="A159" t="str">
            <v>Sweden</v>
          </cell>
          <cell r="B159">
            <v>31927700000</v>
          </cell>
          <cell r="C159">
            <v>23021500000</v>
          </cell>
        </row>
        <row r="160">
          <cell r="A160" t="str">
            <v>Switzerland</v>
          </cell>
          <cell r="B160">
            <v>99232500000</v>
          </cell>
          <cell r="C160">
            <v>69644300000</v>
          </cell>
        </row>
        <row r="161">
          <cell r="A161" t="str">
            <v>SÃ£o TomÃ© and PrÃ­ncipe, Dem. Rep. of</v>
          </cell>
          <cell r="B161">
            <v>0</v>
          </cell>
          <cell r="C161">
            <v>0</v>
          </cell>
        </row>
        <row r="162">
          <cell r="A162" t="str">
            <v>Tajikistan, Rep. of</v>
          </cell>
          <cell r="B162">
            <v>0</v>
          </cell>
          <cell r="C162">
            <v>211174000</v>
          </cell>
        </row>
        <row r="163">
          <cell r="A163" t="str">
            <v>Tanzania, United Rep. of</v>
          </cell>
          <cell r="B163">
            <v>0</v>
          </cell>
          <cell r="C163">
            <v>0</v>
          </cell>
        </row>
        <row r="164">
          <cell r="A164" t="str">
            <v>Thailand</v>
          </cell>
          <cell r="B164">
            <v>2423540000</v>
          </cell>
          <cell r="C164">
            <v>16684800000</v>
          </cell>
        </row>
        <row r="165">
          <cell r="A165" t="str">
            <v>Timor-Leste, Dem. Rep. of</v>
          </cell>
          <cell r="B165">
            <v>0</v>
          </cell>
          <cell r="C165">
            <v>59598082.899999999</v>
          </cell>
        </row>
        <row r="166">
          <cell r="A166" t="str">
            <v>Togo</v>
          </cell>
          <cell r="B166">
            <v>0</v>
          </cell>
          <cell r="C166">
            <v>0</v>
          </cell>
        </row>
        <row r="167">
          <cell r="A167" t="str">
            <v>Tonga</v>
          </cell>
          <cell r="B167">
            <v>0</v>
          </cell>
          <cell r="C167">
            <v>0</v>
          </cell>
        </row>
        <row r="168">
          <cell r="A168" t="str">
            <v>Trinidad and Tobago</v>
          </cell>
          <cell r="B168">
            <v>0</v>
          </cell>
          <cell r="C168">
            <v>0</v>
          </cell>
        </row>
        <row r="169">
          <cell r="A169" t="str">
            <v>Tunisia</v>
          </cell>
          <cell r="B169">
            <v>0</v>
          </cell>
          <cell r="C169">
            <v>0</v>
          </cell>
        </row>
        <row r="170">
          <cell r="A170" t="str">
            <v>Turkey</v>
          </cell>
          <cell r="B170">
            <v>823000000</v>
          </cell>
          <cell r="C170">
            <v>3247000000</v>
          </cell>
        </row>
        <row r="171">
          <cell r="A171" t="str">
            <v>Turks and Caicos Islands</v>
          </cell>
          <cell r="B171">
            <v>0</v>
          </cell>
          <cell r="C171">
            <v>0</v>
          </cell>
        </row>
        <row r="172">
          <cell r="A172" t="str">
            <v>Uganda</v>
          </cell>
          <cell r="B172">
            <v>343152.12007</v>
          </cell>
          <cell r="C172">
            <v>354161000</v>
          </cell>
        </row>
        <row r="173">
          <cell r="A173" t="str">
            <v>Ukraine</v>
          </cell>
          <cell r="B173">
            <v>94000000</v>
          </cell>
          <cell r="C173">
            <v>3877000000</v>
          </cell>
        </row>
        <row r="174">
          <cell r="A174" t="str">
            <v>United Kingdom</v>
          </cell>
          <cell r="B174">
            <v>121172000000</v>
          </cell>
          <cell r="C174">
            <v>83413400000</v>
          </cell>
        </row>
        <row r="175">
          <cell r="A175" t="str">
            <v>United States</v>
          </cell>
          <cell r="B175">
            <v>579987000000</v>
          </cell>
          <cell r="C175">
            <v>245769000000</v>
          </cell>
        </row>
        <row r="176">
          <cell r="A176" t="str">
            <v>Uruguay</v>
          </cell>
          <cell r="B176">
            <v>1008580000</v>
          </cell>
          <cell r="C176">
            <v>3662720000</v>
          </cell>
        </row>
        <row r="177">
          <cell r="A177" t="str">
            <v>Uzbekistan, Rep. of</v>
          </cell>
          <cell r="B177">
            <v>2578653.20138</v>
          </cell>
          <cell r="C177">
            <v>1296950000</v>
          </cell>
        </row>
        <row r="178">
          <cell r="A178" t="str">
            <v>Vanuatu</v>
          </cell>
          <cell r="B178">
            <v>0</v>
          </cell>
          <cell r="C178">
            <v>0</v>
          </cell>
        </row>
        <row r="179">
          <cell r="A179" t="str">
            <v>Vietnam</v>
          </cell>
          <cell r="B179">
            <v>0</v>
          </cell>
          <cell r="C179">
            <v>0</v>
          </cell>
        </row>
        <row r="180">
          <cell r="A180" t="str">
            <v>West Bank and Gaza</v>
          </cell>
          <cell r="B180">
            <v>0</v>
          </cell>
          <cell r="C180">
            <v>0</v>
          </cell>
        </row>
        <row r="181">
          <cell r="A181" t="str">
            <v>Zambia</v>
          </cell>
          <cell r="B181">
            <v>7016250.4583299998</v>
          </cell>
          <cell r="C181">
            <v>-372720000</v>
          </cell>
        </row>
        <row r="182">
          <cell r="A182" t="str">
            <v>Total</v>
          </cell>
          <cell r="B182">
            <v>2100490000000</v>
          </cell>
          <cell r="C182">
            <v>1750170000000</v>
          </cell>
        </row>
        <row r="184">
          <cell r="A184" t="str">
            <v>ISO 3166 alpha-3 code</v>
          </cell>
          <cell r="B184" t="str">
            <v>Sum</v>
          </cell>
          <cell r="C184" t="str">
            <v>Sum</v>
          </cell>
        </row>
        <row r="185">
          <cell r="B185" t="str">
            <v>TotalDI Credit</v>
          </cell>
          <cell r="C185" t="str">
            <v>TotalDI Debit</v>
          </cell>
        </row>
        <row r="186">
          <cell r="A186" t="str">
            <v>ABW</v>
          </cell>
          <cell r="B186">
            <v>0</v>
          </cell>
          <cell r="C186">
            <v>0</v>
          </cell>
        </row>
        <row r="187">
          <cell r="A187" t="str">
            <v>AFG</v>
          </cell>
          <cell r="B187">
            <v>0</v>
          </cell>
          <cell r="C187">
            <v>0</v>
          </cell>
        </row>
        <row r="188">
          <cell r="A188" t="str">
            <v>AGO</v>
          </cell>
          <cell r="B188">
            <v>0</v>
          </cell>
          <cell r="C188">
            <v>0</v>
          </cell>
        </row>
        <row r="189">
          <cell r="A189" t="str">
            <v>AIA</v>
          </cell>
          <cell r="B189">
            <v>0</v>
          </cell>
          <cell r="C189">
            <v>0</v>
          </cell>
        </row>
        <row r="190">
          <cell r="A190" t="str">
            <v>ALB</v>
          </cell>
          <cell r="B190">
            <v>17372368.388259999</v>
          </cell>
          <cell r="C190">
            <v>475590000</v>
          </cell>
        </row>
        <row r="191">
          <cell r="A191" t="str">
            <v>ARG</v>
          </cell>
          <cell r="B191">
            <v>1335970000</v>
          </cell>
          <cell r="C191">
            <v>6671760000</v>
          </cell>
        </row>
        <row r="192">
          <cell r="A192" t="str">
            <v>ARM</v>
          </cell>
          <cell r="B192">
            <v>11328432.6798</v>
          </cell>
          <cell r="C192">
            <v>195059000</v>
          </cell>
        </row>
        <row r="193">
          <cell r="A193" t="str">
            <v>ATG</v>
          </cell>
          <cell r="B193">
            <v>0</v>
          </cell>
          <cell r="C193">
            <v>0</v>
          </cell>
        </row>
        <row r="194">
          <cell r="A194" t="str">
            <v>AUS</v>
          </cell>
          <cell r="B194">
            <v>0</v>
          </cell>
          <cell r="C194">
            <v>0</v>
          </cell>
        </row>
        <row r="195">
          <cell r="A195" t="str">
            <v>AUT</v>
          </cell>
          <cell r="B195">
            <v>16511100000</v>
          </cell>
          <cell r="C195">
            <v>14885100000</v>
          </cell>
        </row>
        <row r="196">
          <cell r="A196" t="str">
            <v>AZE</v>
          </cell>
          <cell r="B196">
            <v>438762000</v>
          </cell>
          <cell r="C196">
            <v>2600980000</v>
          </cell>
        </row>
        <row r="197">
          <cell r="A197" t="str">
            <v>BDI</v>
          </cell>
          <cell r="B197">
            <v>0</v>
          </cell>
          <cell r="C197">
            <v>0</v>
          </cell>
        </row>
        <row r="198">
          <cell r="A198" t="str">
            <v>BEL</v>
          </cell>
          <cell r="B198">
            <v>39649300000</v>
          </cell>
          <cell r="C198">
            <v>45521200000</v>
          </cell>
        </row>
        <row r="199">
          <cell r="A199" t="str">
            <v>BEN</v>
          </cell>
          <cell r="B199">
            <v>0</v>
          </cell>
          <cell r="C199">
            <v>0</v>
          </cell>
        </row>
        <row r="200">
          <cell r="A200" t="str">
            <v>BFA</v>
          </cell>
          <cell r="B200">
            <v>0</v>
          </cell>
          <cell r="C200">
            <v>0</v>
          </cell>
        </row>
        <row r="201">
          <cell r="A201" t="str">
            <v>BGD</v>
          </cell>
          <cell r="B201">
            <v>7998639.3416600004</v>
          </cell>
          <cell r="C201">
            <v>1690930000</v>
          </cell>
        </row>
        <row r="202">
          <cell r="A202" t="str">
            <v>BGR</v>
          </cell>
          <cell r="B202">
            <v>137970000</v>
          </cell>
          <cell r="C202">
            <v>2771280000</v>
          </cell>
        </row>
        <row r="203">
          <cell r="A203" t="str">
            <v>BHR</v>
          </cell>
          <cell r="B203">
            <v>0</v>
          </cell>
          <cell r="C203">
            <v>0</v>
          </cell>
        </row>
        <row r="204">
          <cell r="A204" t="str">
            <v>BHS</v>
          </cell>
          <cell r="B204">
            <v>0</v>
          </cell>
          <cell r="C204">
            <v>0</v>
          </cell>
        </row>
        <row r="205">
          <cell r="A205" t="str">
            <v>BIH</v>
          </cell>
          <cell r="B205">
            <v>4685365.9669199996</v>
          </cell>
          <cell r="C205">
            <v>512183000</v>
          </cell>
        </row>
        <row r="206">
          <cell r="A206" t="str">
            <v>BLR</v>
          </cell>
          <cell r="B206">
            <v>81300000</v>
          </cell>
          <cell r="C206">
            <v>1779900000</v>
          </cell>
        </row>
        <row r="207">
          <cell r="A207" t="str">
            <v>BLZ</v>
          </cell>
          <cell r="B207">
            <v>0</v>
          </cell>
          <cell r="C207">
            <v>0</v>
          </cell>
        </row>
        <row r="208">
          <cell r="A208" t="str">
            <v>BMU</v>
          </cell>
          <cell r="B208">
            <v>0</v>
          </cell>
          <cell r="C208">
            <v>0</v>
          </cell>
        </row>
        <row r="209">
          <cell r="A209" t="str">
            <v>BOL</v>
          </cell>
          <cell r="B209">
            <v>-150962.88961000001</v>
          </cell>
          <cell r="C209">
            <v>559932000</v>
          </cell>
        </row>
        <row r="210">
          <cell r="A210" t="str">
            <v>BRA</v>
          </cell>
          <cell r="B210">
            <v>17075800000</v>
          </cell>
          <cell r="C210">
            <v>53114200000</v>
          </cell>
        </row>
        <row r="211">
          <cell r="A211" t="str">
            <v>BRN</v>
          </cell>
          <cell r="B211">
            <v>0</v>
          </cell>
          <cell r="C211">
            <v>0</v>
          </cell>
        </row>
        <row r="212">
          <cell r="A212" t="str">
            <v>BTN</v>
          </cell>
          <cell r="B212">
            <v>0</v>
          </cell>
          <cell r="C212">
            <v>0</v>
          </cell>
        </row>
        <row r="213">
          <cell r="A213" t="str">
            <v>BWA</v>
          </cell>
          <cell r="B213">
            <v>0</v>
          </cell>
          <cell r="C213">
            <v>0</v>
          </cell>
        </row>
        <row r="214">
          <cell r="A214" t="str">
            <v>CAN</v>
          </cell>
          <cell r="B214">
            <v>64026300000</v>
          </cell>
          <cell r="C214">
            <v>41551800000</v>
          </cell>
        </row>
        <row r="215">
          <cell r="A215" t="str">
            <v>CHE</v>
          </cell>
          <cell r="B215">
            <v>99232500000</v>
          </cell>
          <cell r="C215">
            <v>69644300000</v>
          </cell>
        </row>
        <row r="216">
          <cell r="A216" t="str">
            <v>CHL</v>
          </cell>
          <cell r="B216">
            <v>0</v>
          </cell>
          <cell r="C216">
            <v>0</v>
          </cell>
        </row>
        <row r="217">
          <cell r="A217" t="str">
            <v>CHN</v>
          </cell>
          <cell r="B217">
            <v>0</v>
          </cell>
          <cell r="C217">
            <v>0</v>
          </cell>
        </row>
        <row r="218">
          <cell r="A218" t="str">
            <v>CIV</v>
          </cell>
          <cell r="B218">
            <v>0</v>
          </cell>
          <cell r="C218">
            <v>0</v>
          </cell>
        </row>
        <row r="219">
          <cell r="A219" t="str">
            <v>CMR</v>
          </cell>
          <cell r="B219">
            <v>0</v>
          </cell>
          <cell r="C219">
            <v>0</v>
          </cell>
        </row>
        <row r="220">
          <cell r="A220" t="str">
            <v>COD</v>
          </cell>
          <cell r="B220">
            <v>0</v>
          </cell>
          <cell r="C220">
            <v>0</v>
          </cell>
        </row>
        <row r="221">
          <cell r="A221" t="str">
            <v>COL</v>
          </cell>
          <cell r="B221">
            <v>4514780000</v>
          </cell>
          <cell r="C221">
            <v>9784440000</v>
          </cell>
        </row>
        <row r="222">
          <cell r="A222" t="str">
            <v>COM</v>
          </cell>
          <cell r="B222">
            <v>0</v>
          </cell>
          <cell r="C222">
            <v>0</v>
          </cell>
        </row>
        <row r="223">
          <cell r="A223" t="str">
            <v>CPV</v>
          </cell>
          <cell r="B223">
            <v>1039439.27627</v>
          </cell>
          <cell r="C223">
            <v>25482205.19334</v>
          </cell>
        </row>
        <row r="224">
          <cell r="A224" t="str">
            <v>CRI</v>
          </cell>
          <cell r="B224">
            <v>135161000</v>
          </cell>
          <cell r="C224">
            <v>3023940000</v>
          </cell>
        </row>
        <row r="225">
          <cell r="A225" t="str">
            <v>CYP</v>
          </cell>
          <cell r="B225">
            <v>9337680000</v>
          </cell>
          <cell r="C225">
            <v>9757650000</v>
          </cell>
        </row>
        <row r="226">
          <cell r="A226" t="str">
            <v>CZE</v>
          </cell>
          <cell r="B226">
            <v>4851100000</v>
          </cell>
          <cell r="C226">
            <v>20970000000</v>
          </cell>
        </row>
        <row r="227">
          <cell r="A227" t="str">
            <v>DEU</v>
          </cell>
          <cell r="B227">
            <v>130789000000</v>
          </cell>
          <cell r="C227">
            <v>61919700000</v>
          </cell>
        </row>
        <row r="228">
          <cell r="A228" t="str">
            <v>DJI</v>
          </cell>
          <cell r="B228">
            <v>0</v>
          </cell>
          <cell r="C228">
            <v>0</v>
          </cell>
        </row>
        <row r="229">
          <cell r="A229" t="str">
            <v>DMA</v>
          </cell>
          <cell r="B229">
            <v>0</v>
          </cell>
          <cell r="C229">
            <v>0</v>
          </cell>
        </row>
        <row r="230">
          <cell r="A230" t="str">
            <v>DNK</v>
          </cell>
          <cell r="B230">
            <v>14011500000</v>
          </cell>
          <cell r="C230">
            <v>6476380000</v>
          </cell>
        </row>
        <row r="231">
          <cell r="A231" t="str">
            <v>DOM</v>
          </cell>
          <cell r="B231">
            <v>0</v>
          </cell>
          <cell r="C231">
            <v>2915600000</v>
          </cell>
        </row>
        <row r="232">
          <cell r="A232" t="str">
            <v>ECU</v>
          </cell>
          <cell r="B232">
            <v>0</v>
          </cell>
          <cell r="C232">
            <v>391282000</v>
          </cell>
        </row>
        <row r="233">
          <cell r="A233" t="str">
            <v>EGY</v>
          </cell>
          <cell r="B233">
            <v>0</v>
          </cell>
          <cell r="C233">
            <v>0</v>
          </cell>
        </row>
        <row r="234">
          <cell r="A234" t="str">
            <v>ESP</v>
          </cell>
          <cell r="B234">
            <v>37318900000</v>
          </cell>
          <cell r="C234">
            <v>27321400000</v>
          </cell>
        </row>
        <row r="235">
          <cell r="A235" t="str">
            <v>EST</v>
          </cell>
          <cell r="B235">
            <v>712146000</v>
          </cell>
          <cell r="C235">
            <v>1945610000</v>
          </cell>
        </row>
        <row r="236">
          <cell r="A236" t="str">
            <v>ETH</v>
          </cell>
          <cell r="B236">
            <v>0</v>
          </cell>
          <cell r="C236">
            <v>0</v>
          </cell>
        </row>
        <row r="237">
          <cell r="A237" t="str">
            <v>FIN</v>
          </cell>
          <cell r="B237">
            <v>10609000000</v>
          </cell>
          <cell r="C237">
            <v>7544080000</v>
          </cell>
        </row>
        <row r="238">
          <cell r="A238" t="str">
            <v>FJI</v>
          </cell>
          <cell r="B238">
            <v>0</v>
          </cell>
          <cell r="C238">
            <v>459299000</v>
          </cell>
        </row>
        <row r="239">
          <cell r="A239" t="str">
            <v>FRA</v>
          </cell>
          <cell r="B239">
            <v>89867200000</v>
          </cell>
          <cell r="C239">
            <v>36451500000</v>
          </cell>
        </row>
        <row r="240">
          <cell r="A240" t="str">
            <v>GBR</v>
          </cell>
          <cell r="B240">
            <v>121172000000</v>
          </cell>
          <cell r="C240">
            <v>83413400000</v>
          </cell>
        </row>
        <row r="241">
          <cell r="A241" t="str">
            <v>GEO</v>
          </cell>
          <cell r="B241">
            <v>252166000</v>
          </cell>
          <cell r="C241">
            <v>1307030000</v>
          </cell>
        </row>
        <row r="242">
          <cell r="A242" t="str">
            <v>GHA</v>
          </cell>
          <cell r="B242">
            <v>0</v>
          </cell>
          <cell r="C242">
            <v>0</v>
          </cell>
        </row>
        <row r="243">
          <cell r="A243" t="str">
            <v>GIN</v>
          </cell>
          <cell r="B243">
            <v>0</v>
          </cell>
          <cell r="C243">
            <v>0</v>
          </cell>
        </row>
        <row r="244">
          <cell r="A244" t="str">
            <v>GMB</v>
          </cell>
          <cell r="B244">
            <v>0</v>
          </cell>
          <cell r="C244">
            <v>0</v>
          </cell>
        </row>
        <row r="245">
          <cell r="A245" t="str">
            <v>GNB</v>
          </cell>
          <cell r="B245">
            <v>0</v>
          </cell>
          <cell r="C245">
            <v>0</v>
          </cell>
        </row>
        <row r="246">
          <cell r="A246" t="str">
            <v>GRC</v>
          </cell>
          <cell r="B246">
            <v>727912000</v>
          </cell>
          <cell r="C246">
            <v>1474370000</v>
          </cell>
        </row>
        <row r="247">
          <cell r="A247" t="str">
            <v>GRD</v>
          </cell>
          <cell r="B247">
            <v>0</v>
          </cell>
          <cell r="C247">
            <v>0</v>
          </cell>
        </row>
        <row r="248">
          <cell r="A248" t="str">
            <v>GTM</v>
          </cell>
          <cell r="B248">
            <v>210585000</v>
          </cell>
          <cell r="C248">
            <v>1301940000</v>
          </cell>
        </row>
        <row r="249">
          <cell r="A249" t="str">
            <v>GUY</v>
          </cell>
          <cell r="B249">
            <v>0</v>
          </cell>
          <cell r="C249">
            <v>0</v>
          </cell>
        </row>
        <row r="250">
          <cell r="A250" t="str">
            <v>HKG</v>
          </cell>
          <cell r="B250">
            <v>137467000000</v>
          </cell>
          <cell r="C250">
            <v>154250000000</v>
          </cell>
        </row>
        <row r="251">
          <cell r="A251" t="str">
            <v>HND</v>
          </cell>
          <cell r="B251">
            <v>2100000</v>
          </cell>
          <cell r="C251">
            <v>1345830000</v>
          </cell>
        </row>
        <row r="252">
          <cell r="A252" t="str">
            <v>HRV</v>
          </cell>
          <cell r="B252">
            <v>221167000</v>
          </cell>
          <cell r="C252">
            <v>2321500000</v>
          </cell>
        </row>
        <row r="253">
          <cell r="A253" t="str">
            <v>HTI</v>
          </cell>
          <cell r="B253">
            <v>0</v>
          </cell>
          <cell r="C253">
            <v>0</v>
          </cell>
        </row>
        <row r="254">
          <cell r="A254" t="str">
            <v>HUN</v>
          </cell>
          <cell r="B254">
            <v>9524690000</v>
          </cell>
          <cell r="C254">
            <v>18184100000</v>
          </cell>
        </row>
        <row r="255">
          <cell r="A255" t="str">
            <v>IDN</v>
          </cell>
          <cell r="B255">
            <v>3410590000</v>
          </cell>
          <cell r="C255">
            <v>21690900000</v>
          </cell>
        </row>
        <row r="256">
          <cell r="A256" t="str">
            <v>IND</v>
          </cell>
          <cell r="B256">
            <v>6151200000</v>
          </cell>
          <cell r="C256">
            <v>22314000000</v>
          </cell>
        </row>
        <row r="257">
          <cell r="A257" t="str">
            <v>IRL</v>
          </cell>
          <cell r="B257">
            <v>19526500000</v>
          </cell>
          <cell r="C257">
            <v>98435600000</v>
          </cell>
        </row>
        <row r="258">
          <cell r="A258" t="str">
            <v>IRQ</v>
          </cell>
          <cell r="B258">
            <v>0</v>
          </cell>
          <cell r="C258">
            <v>0</v>
          </cell>
        </row>
        <row r="259">
          <cell r="A259" t="str">
            <v>ISL</v>
          </cell>
          <cell r="B259">
            <v>365301000</v>
          </cell>
          <cell r="C259">
            <v>-210544000</v>
          </cell>
        </row>
        <row r="260">
          <cell r="A260" t="str">
            <v>ISR</v>
          </cell>
          <cell r="B260">
            <v>7022300000</v>
          </cell>
          <cell r="C260">
            <v>6623600000</v>
          </cell>
        </row>
        <row r="261">
          <cell r="A261" t="str">
            <v>ITA</v>
          </cell>
          <cell r="B261">
            <v>25231800000</v>
          </cell>
          <cell r="C261">
            <v>14553000000</v>
          </cell>
        </row>
        <row r="262">
          <cell r="A262" t="str">
            <v>JAM</v>
          </cell>
          <cell r="B262">
            <v>0</v>
          </cell>
          <cell r="C262">
            <v>0</v>
          </cell>
        </row>
        <row r="263">
          <cell r="A263" t="str">
            <v>JOR</v>
          </cell>
          <cell r="B263">
            <v>0</v>
          </cell>
          <cell r="C263">
            <v>0</v>
          </cell>
        </row>
        <row r="264">
          <cell r="A264" t="str">
            <v>JPN</v>
          </cell>
          <cell r="B264">
            <v>132346000000</v>
          </cell>
          <cell r="C264">
            <v>34860500000</v>
          </cell>
        </row>
        <row r="265">
          <cell r="A265" t="str">
            <v>KAZ</v>
          </cell>
          <cell r="B265">
            <v>653469000</v>
          </cell>
          <cell r="C265">
            <v>20793100000</v>
          </cell>
        </row>
        <row r="266">
          <cell r="A266" t="str">
            <v>KGZ</v>
          </cell>
          <cell r="B266">
            <v>0</v>
          </cell>
          <cell r="C266">
            <v>0</v>
          </cell>
        </row>
        <row r="267">
          <cell r="A267" t="str">
            <v>KHM</v>
          </cell>
          <cell r="B267">
            <v>0</v>
          </cell>
          <cell r="C267">
            <v>0</v>
          </cell>
        </row>
        <row r="268">
          <cell r="A268" t="str">
            <v>KIR</v>
          </cell>
          <cell r="B268">
            <v>0</v>
          </cell>
          <cell r="C268">
            <v>0</v>
          </cell>
        </row>
        <row r="269">
          <cell r="A269" t="str">
            <v>KNA</v>
          </cell>
          <cell r="B269">
            <v>0</v>
          </cell>
          <cell r="C269">
            <v>0</v>
          </cell>
        </row>
        <row r="270">
          <cell r="A270" t="str">
            <v>KOR</v>
          </cell>
          <cell r="B270">
            <v>17606700000</v>
          </cell>
          <cell r="C270">
            <v>13755200000</v>
          </cell>
        </row>
        <row r="271">
          <cell r="A271" t="str">
            <v>KWT</v>
          </cell>
          <cell r="B271">
            <v>0</v>
          </cell>
          <cell r="C271">
            <v>0</v>
          </cell>
        </row>
        <row r="272">
          <cell r="A272" t="str">
            <v>LAO</v>
          </cell>
          <cell r="B272">
            <v>0</v>
          </cell>
          <cell r="C272">
            <v>0</v>
          </cell>
        </row>
        <row r="273">
          <cell r="A273" t="str">
            <v>LBN</v>
          </cell>
          <cell r="B273">
            <v>0</v>
          </cell>
          <cell r="C273">
            <v>0</v>
          </cell>
        </row>
        <row r="274">
          <cell r="A274" t="str">
            <v>LBR</v>
          </cell>
          <cell r="B274">
            <v>0</v>
          </cell>
          <cell r="C274">
            <v>0</v>
          </cell>
        </row>
        <row r="275">
          <cell r="A275" t="str">
            <v>LBY</v>
          </cell>
          <cell r="B275">
            <v>0</v>
          </cell>
          <cell r="C275">
            <v>0</v>
          </cell>
        </row>
        <row r="276">
          <cell r="A276" t="str">
            <v>LCA</v>
          </cell>
          <cell r="B276">
            <v>0</v>
          </cell>
          <cell r="C276">
            <v>0</v>
          </cell>
        </row>
        <row r="277">
          <cell r="A277" t="str">
            <v>LKA</v>
          </cell>
          <cell r="B277">
            <v>0</v>
          </cell>
          <cell r="C277">
            <v>0</v>
          </cell>
        </row>
        <row r="278">
          <cell r="A278" t="str">
            <v>LSO</v>
          </cell>
          <cell r="B278">
            <v>0</v>
          </cell>
          <cell r="C278">
            <v>110427000</v>
          </cell>
        </row>
        <row r="279">
          <cell r="A279" t="str">
            <v>LTU</v>
          </cell>
          <cell r="B279">
            <v>256466000</v>
          </cell>
          <cell r="C279">
            <v>2033000000</v>
          </cell>
        </row>
        <row r="280">
          <cell r="A280" t="str">
            <v>LUX</v>
          </cell>
          <cell r="B280">
            <v>119432000000</v>
          </cell>
          <cell r="C280">
            <v>91042400000</v>
          </cell>
        </row>
        <row r="281">
          <cell r="A281" t="str">
            <v>LVA</v>
          </cell>
          <cell r="B281">
            <v>141511000</v>
          </cell>
          <cell r="C281">
            <v>1650890000</v>
          </cell>
        </row>
        <row r="282">
          <cell r="A282" t="str">
            <v>MAC</v>
          </cell>
          <cell r="B282">
            <v>0</v>
          </cell>
          <cell r="C282">
            <v>0</v>
          </cell>
        </row>
        <row r="283">
          <cell r="A283" t="str">
            <v>MAR</v>
          </cell>
          <cell r="B283">
            <v>478983000</v>
          </cell>
          <cell r="C283">
            <v>1761720000</v>
          </cell>
        </row>
        <row r="284">
          <cell r="A284" t="str">
            <v>MDA</v>
          </cell>
          <cell r="B284">
            <v>10750000</v>
          </cell>
          <cell r="C284">
            <v>314400000</v>
          </cell>
        </row>
        <row r="285">
          <cell r="A285" t="str">
            <v>MDG</v>
          </cell>
          <cell r="B285">
            <v>0</v>
          </cell>
          <cell r="C285">
            <v>0</v>
          </cell>
        </row>
        <row r="286">
          <cell r="A286" t="str">
            <v>MDV</v>
          </cell>
          <cell r="B286">
            <v>0</v>
          </cell>
          <cell r="C286">
            <v>0</v>
          </cell>
        </row>
        <row r="287">
          <cell r="A287" t="str">
            <v>MEX</v>
          </cell>
          <cell r="B287">
            <v>5513140000</v>
          </cell>
          <cell r="C287">
            <v>24188900000</v>
          </cell>
        </row>
        <row r="288">
          <cell r="A288" t="str">
            <v>MHL</v>
          </cell>
          <cell r="B288">
            <v>0</v>
          </cell>
          <cell r="C288">
            <v>0</v>
          </cell>
        </row>
        <row r="289">
          <cell r="A289" t="str">
            <v>MKD</v>
          </cell>
          <cell r="B289">
            <v>17624177.91102</v>
          </cell>
          <cell r="C289">
            <v>509944000</v>
          </cell>
        </row>
        <row r="290">
          <cell r="A290" t="str">
            <v>MLI</v>
          </cell>
          <cell r="B290">
            <v>0</v>
          </cell>
          <cell r="C290">
            <v>0</v>
          </cell>
        </row>
        <row r="291">
          <cell r="A291" t="str">
            <v>MLT</v>
          </cell>
          <cell r="B291">
            <v>55546035.842210002</v>
          </cell>
          <cell r="C291">
            <v>10408100000</v>
          </cell>
        </row>
        <row r="292">
          <cell r="A292" t="str">
            <v>MMR</v>
          </cell>
          <cell r="B292">
            <v>0</v>
          </cell>
          <cell r="C292">
            <v>0</v>
          </cell>
        </row>
        <row r="293">
          <cell r="A293" t="str">
            <v>MNE</v>
          </cell>
          <cell r="B293">
            <v>15126629.910399999</v>
          </cell>
          <cell r="C293">
            <v>68299523.423270002</v>
          </cell>
        </row>
        <row r="294">
          <cell r="A294" t="str">
            <v>MNG</v>
          </cell>
          <cell r="B294">
            <v>2806316.8313799999</v>
          </cell>
          <cell r="C294">
            <v>976523000</v>
          </cell>
        </row>
        <row r="295">
          <cell r="A295" t="str">
            <v>MOZ</v>
          </cell>
          <cell r="B295">
            <v>0</v>
          </cell>
          <cell r="C295">
            <v>0</v>
          </cell>
        </row>
        <row r="296">
          <cell r="A296" t="str">
            <v>MRT</v>
          </cell>
          <cell r="B296">
            <v>0</v>
          </cell>
          <cell r="C296">
            <v>0</v>
          </cell>
        </row>
        <row r="297">
          <cell r="A297" t="str">
            <v>MSR</v>
          </cell>
          <cell r="B297">
            <v>0</v>
          </cell>
          <cell r="C297">
            <v>0</v>
          </cell>
        </row>
        <row r="298">
          <cell r="A298" t="str">
            <v>MUS</v>
          </cell>
          <cell r="B298">
            <v>0</v>
          </cell>
          <cell r="C298">
            <v>0</v>
          </cell>
        </row>
        <row r="299">
          <cell r="A299" t="str">
            <v>MWI</v>
          </cell>
          <cell r="B299">
            <v>0</v>
          </cell>
          <cell r="C299">
            <v>0</v>
          </cell>
        </row>
        <row r="300">
          <cell r="A300" t="str">
            <v>MYS</v>
          </cell>
          <cell r="B300">
            <v>0</v>
          </cell>
          <cell r="C300">
            <v>0</v>
          </cell>
        </row>
        <row r="301">
          <cell r="A301" t="str">
            <v>NAM</v>
          </cell>
          <cell r="B301">
            <v>-1480951.82351</v>
          </cell>
          <cell r="C301">
            <v>346829000</v>
          </cell>
        </row>
        <row r="302">
          <cell r="A302" t="str">
            <v>NER</v>
          </cell>
          <cell r="B302">
            <v>0</v>
          </cell>
          <cell r="C302">
            <v>0</v>
          </cell>
        </row>
        <row r="303">
          <cell r="A303" t="str">
            <v>NGA</v>
          </cell>
          <cell r="B303">
            <v>0</v>
          </cell>
          <cell r="C303">
            <v>0</v>
          </cell>
        </row>
        <row r="304">
          <cell r="A304" t="str">
            <v>NIC</v>
          </cell>
          <cell r="B304">
            <v>0</v>
          </cell>
          <cell r="C304">
            <v>0</v>
          </cell>
        </row>
        <row r="305">
          <cell r="A305" t="str">
            <v>NLD</v>
          </cell>
          <cell r="B305">
            <v>275164000000</v>
          </cell>
          <cell r="C305">
            <v>234372000000</v>
          </cell>
        </row>
        <row r="306">
          <cell r="A306" t="str">
            <v>NOR</v>
          </cell>
          <cell r="B306">
            <v>9127300000</v>
          </cell>
          <cell r="C306">
            <v>10689300000</v>
          </cell>
        </row>
        <row r="307">
          <cell r="A307" t="str">
            <v>NPL</v>
          </cell>
          <cell r="B307">
            <v>0</v>
          </cell>
          <cell r="C307">
            <v>0</v>
          </cell>
        </row>
        <row r="308">
          <cell r="A308" t="str">
            <v>NRU</v>
          </cell>
          <cell r="B308">
            <v>0</v>
          </cell>
          <cell r="C308">
            <v>0</v>
          </cell>
        </row>
        <row r="309">
          <cell r="A309" t="str">
            <v>NZL</v>
          </cell>
          <cell r="B309">
            <v>694737000</v>
          </cell>
          <cell r="C309">
            <v>5998730000</v>
          </cell>
        </row>
        <row r="310">
          <cell r="A310" t="str">
            <v>OMN</v>
          </cell>
          <cell r="B310">
            <v>0</v>
          </cell>
          <cell r="C310">
            <v>0</v>
          </cell>
        </row>
        <row r="311">
          <cell r="A311" t="str">
            <v>PAK</v>
          </cell>
          <cell r="B311">
            <v>81000000</v>
          </cell>
          <cell r="C311">
            <v>3165000000</v>
          </cell>
        </row>
        <row r="312">
          <cell r="A312" t="str">
            <v>PAN</v>
          </cell>
          <cell r="B312">
            <v>235669000</v>
          </cell>
          <cell r="C312">
            <v>3546200000</v>
          </cell>
        </row>
        <row r="313">
          <cell r="A313" t="str">
            <v>PER</v>
          </cell>
          <cell r="B313">
            <v>0</v>
          </cell>
          <cell r="C313">
            <v>0</v>
          </cell>
        </row>
        <row r="314">
          <cell r="A314" t="str">
            <v>PHL</v>
          </cell>
          <cell r="B314">
            <v>0</v>
          </cell>
          <cell r="C314">
            <v>0</v>
          </cell>
        </row>
        <row r="315">
          <cell r="A315" t="str">
            <v>PNG</v>
          </cell>
          <cell r="B315">
            <v>0</v>
          </cell>
          <cell r="C315">
            <v>0</v>
          </cell>
        </row>
        <row r="316">
          <cell r="A316" t="str">
            <v>POL</v>
          </cell>
          <cell r="B316">
            <v>1571000000</v>
          </cell>
          <cell r="C316">
            <v>25762000000</v>
          </cell>
        </row>
        <row r="317">
          <cell r="A317" t="str">
            <v>PRT</v>
          </cell>
          <cell r="B317">
            <v>3605460000</v>
          </cell>
          <cell r="C317">
            <v>7934120000</v>
          </cell>
        </row>
        <row r="318">
          <cell r="A318" t="str">
            <v>PRY</v>
          </cell>
          <cell r="B318">
            <v>200000</v>
          </cell>
          <cell r="C318">
            <v>863901000</v>
          </cell>
        </row>
        <row r="319">
          <cell r="A319" t="str">
            <v>QAT</v>
          </cell>
          <cell r="B319">
            <v>0</v>
          </cell>
          <cell r="C319">
            <v>0</v>
          </cell>
        </row>
        <row r="320">
          <cell r="A320" t="str">
            <v>ROU</v>
          </cell>
          <cell r="B320">
            <v>49698851.328440003</v>
          </cell>
          <cell r="C320">
            <v>7373850000</v>
          </cell>
        </row>
        <row r="321">
          <cell r="A321" t="str">
            <v>RUS</v>
          </cell>
          <cell r="B321">
            <v>35506000000</v>
          </cell>
          <cell r="C321">
            <v>71008000000</v>
          </cell>
        </row>
        <row r="322">
          <cell r="A322" t="str">
            <v>RWA</v>
          </cell>
          <cell r="B322">
            <v>0</v>
          </cell>
          <cell r="C322">
            <v>0</v>
          </cell>
        </row>
        <row r="323">
          <cell r="A323" t="str">
            <v>SAU</v>
          </cell>
          <cell r="B323">
            <v>5097910000</v>
          </cell>
          <cell r="C323">
            <v>3734080000</v>
          </cell>
        </row>
        <row r="324">
          <cell r="A324" t="str">
            <v>SDN</v>
          </cell>
          <cell r="B324">
            <v>0</v>
          </cell>
          <cell r="C324">
            <v>0</v>
          </cell>
        </row>
        <row r="325">
          <cell r="A325" t="str">
            <v>SEN</v>
          </cell>
          <cell r="B325">
            <v>0</v>
          </cell>
          <cell r="C325">
            <v>0</v>
          </cell>
        </row>
        <row r="326">
          <cell r="A326" t="str">
            <v>SGP</v>
          </cell>
          <cell r="B326">
            <v>0</v>
          </cell>
          <cell r="C326">
            <v>0</v>
          </cell>
        </row>
        <row r="327">
          <cell r="A327" t="str">
            <v>SLB</v>
          </cell>
          <cell r="B327">
            <v>0</v>
          </cell>
          <cell r="C327">
            <v>0</v>
          </cell>
        </row>
        <row r="328">
          <cell r="A328" t="str">
            <v>SLE</v>
          </cell>
          <cell r="B328">
            <v>0</v>
          </cell>
          <cell r="C328">
            <v>0</v>
          </cell>
        </row>
        <row r="329">
          <cell r="A329" t="str">
            <v>SLV</v>
          </cell>
          <cell r="B329">
            <v>474392.79819</v>
          </cell>
          <cell r="C329">
            <v>820983000</v>
          </cell>
        </row>
        <row r="330">
          <cell r="A330" t="str">
            <v>STP</v>
          </cell>
          <cell r="B330">
            <v>0</v>
          </cell>
          <cell r="C330">
            <v>0</v>
          </cell>
        </row>
        <row r="331">
          <cell r="A331" t="str">
            <v>SUR</v>
          </cell>
          <cell r="B331">
            <v>0</v>
          </cell>
          <cell r="C331">
            <v>269272000</v>
          </cell>
        </row>
        <row r="332">
          <cell r="A332" t="str">
            <v>SVK</v>
          </cell>
          <cell r="B332">
            <v>525856000</v>
          </cell>
          <cell r="C332">
            <v>4815450000</v>
          </cell>
        </row>
        <row r="333">
          <cell r="A333" t="str">
            <v>SVN</v>
          </cell>
          <cell r="B333">
            <v>263104000</v>
          </cell>
          <cell r="C333">
            <v>1271250000</v>
          </cell>
        </row>
        <row r="334">
          <cell r="A334" t="str">
            <v>SWE</v>
          </cell>
          <cell r="B334">
            <v>31927700000</v>
          </cell>
          <cell r="C334">
            <v>23021500000</v>
          </cell>
        </row>
        <row r="335">
          <cell r="A335" t="str">
            <v>SWZ</v>
          </cell>
          <cell r="B335">
            <v>5524070.3964999998</v>
          </cell>
          <cell r="C335">
            <v>499891000</v>
          </cell>
        </row>
        <row r="336">
          <cell r="A336" t="str">
            <v>SYC</v>
          </cell>
          <cell r="B336">
            <v>985393.95027999999</v>
          </cell>
          <cell r="C336">
            <v>63096974.085490003</v>
          </cell>
        </row>
        <row r="337">
          <cell r="A337" t="str">
            <v>TGO</v>
          </cell>
          <cell r="B337">
            <v>0</v>
          </cell>
          <cell r="C337">
            <v>0</v>
          </cell>
        </row>
        <row r="338">
          <cell r="A338" t="str">
            <v>THA</v>
          </cell>
          <cell r="B338">
            <v>2423540000</v>
          </cell>
          <cell r="C338">
            <v>16684800000</v>
          </cell>
        </row>
        <row r="339">
          <cell r="A339" t="str">
            <v>TJK</v>
          </cell>
          <cell r="B339">
            <v>0</v>
          </cell>
          <cell r="C339">
            <v>211174000</v>
          </cell>
        </row>
        <row r="340">
          <cell r="A340" t="str">
            <v>TLS</v>
          </cell>
          <cell r="B340">
            <v>0</v>
          </cell>
          <cell r="C340">
            <v>59598082.899999999</v>
          </cell>
        </row>
        <row r="341">
          <cell r="A341" t="str">
            <v>TON</v>
          </cell>
          <cell r="B341">
            <v>0</v>
          </cell>
          <cell r="C341">
            <v>0</v>
          </cell>
        </row>
        <row r="342">
          <cell r="A342" t="str">
            <v>TTO</v>
          </cell>
          <cell r="B342">
            <v>0</v>
          </cell>
          <cell r="C342">
            <v>0</v>
          </cell>
        </row>
        <row r="343">
          <cell r="A343" t="str">
            <v>TUN</v>
          </cell>
          <cell r="B343">
            <v>0</v>
          </cell>
          <cell r="C343">
            <v>0</v>
          </cell>
        </row>
        <row r="344">
          <cell r="A344" t="str">
            <v>TUR</v>
          </cell>
          <cell r="B344">
            <v>823000000</v>
          </cell>
          <cell r="C344">
            <v>3247000000</v>
          </cell>
        </row>
        <row r="345">
          <cell r="A345" t="str">
            <v>TZA</v>
          </cell>
          <cell r="B345">
            <v>0</v>
          </cell>
          <cell r="C345">
            <v>0</v>
          </cell>
        </row>
        <row r="346">
          <cell r="A346" t="str">
            <v>UGA</v>
          </cell>
          <cell r="B346">
            <v>343152.12007</v>
          </cell>
          <cell r="C346">
            <v>354161000</v>
          </cell>
        </row>
        <row r="347">
          <cell r="A347" t="str">
            <v>UKR</v>
          </cell>
          <cell r="B347">
            <v>94000000</v>
          </cell>
          <cell r="C347">
            <v>3877000000</v>
          </cell>
        </row>
        <row r="348">
          <cell r="A348" t="str">
            <v>URY</v>
          </cell>
          <cell r="B348">
            <v>1008580000</v>
          </cell>
          <cell r="C348">
            <v>3662720000</v>
          </cell>
        </row>
        <row r="349">
          <cell r="A349" t="str">
            <v>USA</v>
          </cell>
          <cell r="B349">
            <v>579987000000</v>
          </cell>
          <cell r="C349">
            <v>245769000000</v>
          </cell>
        </row>
        <row r="350">
          <cell r="A350" t="str">
            <v>UZB</v>
          </cell>
          <cell r="B350">
            <v>2578653.20138</v>
          </cell>
          <cell r="C350">
            <v>1296950000</v>
          </cell>
        </row>
        <row r="351">
          <cell r="A351" t="str">
            <v>VCT</v>
          </cell>
          <cell r="B351">
            <v>0</v>
          </cell>
          <cell r="C351">
            <v>0</v>
          </cell>
        </row>
        <row r="352">
          <cell r="A352" t="str">
            <v>VNM</v>
          </cell>
          <cell r="B352">
            <v>0</v>
          </cell>
          <cell r="C352">
            <v>0</v>
          </cell>
        </row>
        <row r="353">
          <cell r="A353" t="str">
            <v>VUT</v>
          </cell>
          <cell r="B353">
            <v>0</v>
          </cell>
          <cell r="C353">
            <v>0</v>
          </cell>
        </row>
        <row r="354">
          <cell r="A354" t="str">
            <v>WSM</v>
          </cell>
          <cell r="B354">
            <v>0</v>
          </cell>
          <cell r="C354">
            <v>0</v>
          </cell>
        </row>
        <row r="355">
          <cell r="A355" t="str">
            <v>ZAF</v>
          </cell>
          <cell r="B355">
            <v>3577630000</v>
          </cell>
          <cell r="C355">
            <v>6615100000</v>
          </cell>
        </row>
        <row r="356">
          <cell r="A356" t="str">
            <v>ZMB</v>
          </cell>
          <cell r="B356">
            <v>7016250.4583299998</v>
          </cell>
          <cell r="C356">
            <v>-372720000</v>
          </cell>
        </row>
        <row r="357">
          <cell r="A357" t="str">
            <v>Total</v>
          </cell>
          <cell r="B357">
            <v>2100270000000</v>
          </cell>
          <cell r="C357">
            <v>1747400000000</v>
          </cell>
        </row>
      </sheetData>
      <sheetData sheetId="5" refreshError="1"/>
      <sheetData sheetId="6">
        <row r="1">
          <cell r="A1" t="str">
            <v>counterpart_area</v>
          </cell>
          <cell r="B1" t="str">
            <v>Sum</v>
          </cell>
        </row>
        <row r="2">
          <cell r="B2" t="str">
            <v>totaldisc DO less DI</v>
          </cell>
        </row>
        <row r="3">
          <cell r="A3" t="str">
            <v>AUS</v>
          </cell>
          <cell r="B3">
            <v>1329.4</v>
          </cell>
        </row>
        <row r="4">
          <cell r="A4" t="str">
            <v>AUT</v>
          </cell>
          <cell r="B4">
            <v>-2799</v>
          </cell>
        </row>
        <row r="5">
          <cell r="A5" t="str">
            <v>BEL</v>
          </cell>
          <cell r="B5">
            <v>9766.4</v>
          </cell>
        </row>
        <row r="6">
          <cell r="A6" t="str">
            <v>CAN</v>
          </cell>
          <cell r="B6">
            <v>-3497.3</v>
          </cell>
        </row>
        <row r="7">
          <cell r="A7" t="str">
            <v>CHE</v>
          </cell>
          <cell r="B7">
            <v>584</v>
          </cell>
        </row>
        <row r="8">
          <cell r="A8" t="str">
            <v>CHL</v>
          </cell>
          <cell r="B8">
            <v>0</v>
          </cell>
        </row>
        <row r="9">
          <cell r="A9" t="str">
            <v>CZE</v>
          </cell>
          <cell r="B9">
            <v>3164.7</v>
          </cell>
        </row>
        <row r="10">
          <cell r="A10" t="str">
            <v>DEU</v>
          </cell>
          <cell r="B10">
            <v>19585.5</v>
          </cell>
        </row>
        <row r="11">
          <cell r="A11" t="str">
            <v>DNK</v>
          </cell>
          <cell r="B11">
            <v>723.7</v>
          </cell>
        </row>
        <row r="12">
          <cell r="A12" t="str">
            <v>EST</v>
          </cell>
          <cell r="B12">
            <v>25.8</v>
          </cell>
        </row>
        <row r="13">
          <cell r="A13" t="str">
            <v>FIN</v>
          </cell>
          <cell r="B13">
            <v>4076.6</v>
          </cell>
        </row>
        <row r="14">
          <cell r="A14" t="str">
            <v>FRA</v>
          </cell>
          <cell r="B14">
            <v>26212.2</v>
          </cell>
        </row>
        <row r="15">
          <cell r="A15" t="str">
            <v>GBR</v>
          </cell>
          <cell r="B15">
            <v>-15845.5</v>
          </cell>
        </row>
        <row r="16">
          <cell r="A16" t="str">
            <v>GRC</v>
          </cell>
          <cell r="B16">
            <v>168.2</v>
          </cell>
        </row>
        <row r="17">
          <cell r="A17" t="str">
            <v>HUN</v>
          </cell>
          <cell r="B17">
            <v>-1152.4000000000001</v>
          </cell>
        </row>
        <row r="18">
          <cell r="A18" t="str">
            <v>IRL</v>
          </cell>
          <cell r="B18">
            <v>-6347.6</v>
          </cell>
        </row>
        <row r="19">
          <cell r="A19" t="str">
            <v>ISL</v>
          </cell>
          <cell r="B19">
            <v>41.6</v>
          </cell>
        </row>
        <row r="20">
          <cell r="A20" t="str">
            <v>ITA</v>
          </cell>
          <cell r="B20">
            <v>5890.1</v>
          </cell>
        </row>
        <row r="21">
          <cell r="A21" t="str">
            <v>JPN</v>
          </cell>
          <cell r="B21">
            <v>23011.200000000001</v>
          </cell>
        </row>
        <row r="22">
          <cell r="A22" t="str">
            <v>KOR</v>
          </cell>
          <cell r="B22">
            <v>-1464.9</v>
          </cell>
        </row>
        <row r="23">
          <cell r="A23" t="str">
            <v>LTU</v>
          </cell>
          <cell r="B23">
            <v>4.4000000000000004</v>
          </cell>
        </row>
        <row r="24">
          <cell r="A24" t="str">
            <v>LUX</v>
          </cell>
          <cell r="B24">
            <v>10240.1</v>
          </cell>
        </row>
        <row r="25">
          <cell r="A25" t="str">
            <v>LVA</v>
          </cell>
          <cell r="B25">
            <v>-92.2</v>
          </cell>
        </row>
        <row r="26">
          <cell r="A26" t="str">
            <v>NLD</v>
          </cell>
          <cell r="B26">
            <v>-94191.3</v>
          </cell>
        </row>
        <row r="27">
          <cell r="A27" t="str">
            <v>NOR</v>
          </cell>
          <cell r="B27">
            <v>-1774.4</v>
          </cell>
        </row>
        <row r="28">
          <cell r="A28" t="str">
            <v>NZL</v>
          </cell>
          <cell r="B28">
            <v>-134.4</v>
          </cell>
        </row>
        <row r="29">
          <cell r="A29" t="str">
            <v>POL</v>
          </cell>
          <cell r="B29">
            <v>720.9</v>
          </cell>
        </row>
        <row r="30">
          <cell r="A30" t="str">
            <v>PRT</v>
          </cell>
          <cell r="B30">
            <v>-9.3000000000000007</v>
          </cell>
        </row>
        <row r="31">
          <cell r="A31" t="str">
            <v>SVK</v>
          </cell>
          <cell r="B31">
            <v>-50.6</v>
          </cell>
        </row>
        <row r="32">
          <cell r="A32" t="str">
            <v>SVN</v>
          </cell>
          <cell r="B32">
            <v>-20.3</v>
          </cell>
        </row>
        <row r="33">
          <cell r="A33" t="str">
            <v>SWE</v>
          </cell>
          <cell r="B33">
            <v>6320.4</v>
          </cell>
        </row>
        <row r="34">
          <cell r="A34" t="str">
            <v>TUR</v>
          </cell>
          <cell r="B34">
            <v>35.200000000000003</v>
          </cell>
        </row>
        <row r="35">
          <cell r="A35" t="str">
            <v>USA</v>
          </cell>
          <cell r="B35">
            <v>197297.1</v>
          </cell>
        </row>
        <row r="36">
          <cell r="A36" t="str">
            <v>Total</v>
          </cell>
          <cell r="B36">
            <v>181818</v>
          </cell>
        </row>
      </sheetData>
      <sheetData sheetId="7" refreshError="1"/>
      <sheetData sheetId="8" refreshError="1"/>
      <sheetData sheetId="9" refreshError="1"/>
      <sheetData sheetId="10">
        <row r="1">
          <cell r="A1" t="str">
            <v>counterpart_area</v>
          </cell>
          <cell r="B1" t="str">
            <v>Sum</v>
          </cell>
        </row>
        <row r="2">
          <cell r="B2" t="str">
            <v>value</v>
          </cell>
        </row>
        <row r="3">
          <cell r="A3" t="str">
            <v>A1</v>
          </cell>
          <cell r="B3">
            <v>321655.359</v>
          </cell>
        </row>
        <row r="4">
          <cell r="A4" t="str">
            <v>A19</v>
          </cell>
          <cell r="B4">
            <v>4</v>
          </cell>
        </row>
        <row r="5">
          <cell r="A5" t="str">
            <v>A2</v>
          </cell>
          <cell r="B5">
            <v>159765.894</v>
          </cell>
        </row>
        <row r="6">
          <cell r="A6" t="str">
            <v>A5</v>
          </cell>
          <cell r="B6">
            <v>117968.663</v>
          </cell>
        </row>
        <row r="7">
          <cell r="A7" t="str">
            <v>A7</v>
          </cell>
          <cell r="B7">
            <v>30993.397000000001</v>
          </cell>
        </row>
        <row r="8">
          <cell r="A8" t="str">
            <v>ABW</v>
          </cell>
          <cell r="B8">
            <v>29.091000000000001</v>
          </cell>
        </row>
        <row r="9">
          <cell r="A9" t="str">
            <v>AFG</v>
          </cell>
          <cell r="B9">
            <v>2</v>
          </cell>
        </row>
        <row r="10">
          <cell r="A10" t="str">
            <v>AGO</v>
          </cell>
          <cell r="B10">
            <v>1026.8779999999999</v>
          </cell>
        </row>
        <row r="11">
          <cell r="A11" t="str">
            <v>AIA</v>
          </cell>
          <cell r="B11">
            <v>-7.4870000000000001</v>
          </cell>
        </row>
        <row r="12">
          <cell r="A12" t="str">
            <v>ALB</v>
          </cell>
          <cell r="B12">
            <v>-205.78100000000001</v>
          </cell>
        </row>
        <row r="13">
          <cell r="A13" t="str">
            <v>AND</v>
          </cell>
          <cell r="B13">
            <v>17.916</v>
          </cell>
        </row>
        <row r="14">
          <cell r="A14" t="str">
            <v>ANT</v>
          </cell>
          <cell r="B14">
            <v>0</v>
          </cell>
        </row>
        <row r="15">
          <cell r="A15" t="str">
            <v>ARE</v>
          </cell>
          <cell r="B15">
            <v>1932.6179999999999</v>
          </cell>
        </row>
        <row r="16">
          <cell r="A16" t="str">
            <v>ARG</v>
          </cell>
          <cell r="B16">
            <v>2502.4870000000001</v>
          </cell>
        </row>
        <row r="17">
          <cell r="A17" t="str">
            <v>ARM</v>
          </cell>
          <cell r="B17">
            <v>18.323</v>
          </cell>
        </row>
        <row r="18">
          <cell r="A18" t="str">
            <v>ASM</v>
          </cell>
          <cell r="B18">
            <v>0</v>
          </cell>
        </row>
        <row r="19">
          <cell r="A19" t="str">
            <v>ATA</v>
          </cell>
          <cell r="B19">
            <v>0</v>
          </cell>
        </row>
        <row r="20">
          <cell r="A20" t="str">
            <v>ATF</v>
          </cell>
          <cell r="B20">
            <v>0.11</v>
          </cell>
        </row>
        <row r="21">
          <cell r="A21" t="str">
            <v>ATG</v>
          </cell>
          <cell r="B21">
            <v>-4.6390000000000002</v>
          </cell>
        </row>
        <row r="22">
          <cell r="A22" t="str">
            <v>AUS</v>
          </cell>
          <cell r="B22">
            <v>26730.261999999999</v>
          </cell>
        </row>
        <row r="23">
          <cell r="A23" t="str">
            <v>AUT</v>
          </cell>
          <cell r="B23">
            <v>12845.888999999999</v>
          </cell>
        </row>
        <row r="24">
          <cell r="A24" t="str">
            <v>AZE</v>
          </cell>
          <cell r="B24">
            <v>294.73500000000001</v>
          </cell>
        </row>
        <row r="25">
          <cell r="A25" t="str">
            <v>B2</v>
          </cell>
          <cell r="B25">
            <v>20.402999999999999</v>
          </cell>
        </row>
        <row r="26">
          <cell r="A26" t="str">
            <v>B3</v>
          </cell>
          <cell r="B26">
            <v>601.29</v>
          </cell>
        </row>
        <row r="27">
          <cell r="A27" t="str">
            <v>B4</v>
          </cell>
          <cell r="B27">
            <v>2604.587</v>
          </cell>
        </row>
        <row r="28">
          <cell r="A28" t="str">
            <v>B5</v>
          </cell>
          <cell r="B28">
            <v>733161.80900000001</v>
          </cell>
        </row>
        <row r="29">
          <cell r="A29" t="str">
            <v>BDI</v>
          </cell>
          <cell r="B29">
            <v>13.433</v>
          </cell>
        </row>
        <row r="30">
          <cell r="A30" t="str">
            <v>BEL</v>
          </cell>
          <cell r="B30">
            <v>44281.338000000003</v>
          </cell>
        </row>
        <row r="31">
          <cell r="A31" t="str">
            <v>BEN</v>
          </cell>
          <cell r="B31">
            <v>12.048999999999999</v>
          </cell>
        </row>
        <row r="32">
          <cell r="A32" t="str">
            <v>BES</v>
          </cell>
          <cell r="B32">
            <v>-4</v>
          </cell>
        </row>
        <row r="33">
          <cell r="A33" t="str">
            <v>BFA</v>
          </cell>
          <cell r="B33">
            <v>1.4039999999999999</v>
          </cell>
        </row>
        <row r="34">
          <cell r="A34" t="str">
            <v>BGD</v>
          </cell>
          <cell r="B34">
            <v>362.24099999999999</v>
          </cell>
        </row>
        <row r="35">
          <cell r="A35" t="str">
            <v>BGR</v>
          </cell>
          <cell r="B35">
            <v>1606.6210000000001</v>
          </cell>
        </row>
        <row r="36">
          <cell r="A36" t="str">
            <v>BHR</v>
          </cell>
          <cell r="B36">
            <v>595.44899999999996</v>
          </cell>
        </row>
        <row r="37">
          <cell r="A37" t="str">
            <v>BHS</v>
          </cell>
          <cell r="B37">
            <v>3508.62</v>
          </cell>
        </row>
        <row r="38">
          <cell r="A38" t="str">
            <v>BIH</v>
          </cell>
          <cell r="B38">
            <v>95.122</v>
          </cell>
        </row>
        <row r="39">
          <cell r="A39" t="str">
            <v>BLR</v>
          </cell>
          <cell r="B39">
            <v>140.06200000000001</v>
          </cell>
        </row>
        <row r="40">
          <cell r="A40" t="str">
            <v>BLZ</v>
          </cell>
          <cell r="B40">
            <v>12.599</v>
          </cell>
        </row>
        <row r="41">
          <cell r="A41" t="str">
            <v>BMU</v>
          </cell>
          <cell r="B41">
            <v>50354.847999999998</v>
          </cell>
        </row>
        <row r="42">
          <cell r="A42" t="str">
            <v>BOL</v>
          </cell>
          <cell r="B42">
            <v>513.32500000000005</v>
          </cell>
        </row>
        <row r="43">
          <cell r="A43" t="str">
            <v>BRA</v>
          </cell>
          <cell r="B43">
            <v>19053.111000000001</v>
          </cell>
        </row>
        <row r="44">
          <cell r="A44" t="str">
            <v>BRB</v>
          </cell>
          <cell r="B44">
            <v>5383.8789999999999</v>
          </cell>
        </row>
        <row r="45">
          <cell r="A45" t="str">
            <v>BRN</v>
          </cell>
          <cell r="B45">
            <v>8.4250000000000007</v>
          </cell>
        </row>
        <row r="46">
          <cell r="A46" t="str">
            <v>BTN</v>
          </cell>
          <cell r="B46">
            <v>0</v>
          </cell>
        </row>
        <row r="47">
          <cell r="A47" t="str">
            <v>BVT</v>
          </cell>
          <cell r="B47">
            <v>0</v>
          </cell>
        </row>
        <row r="48">
          <cell r="A48" t="str">
            <v>BWA</v>
          </cell>
          <cell r="B48">
            <v>25.486999999999998</v>
          </cell>
        </row>
        <row r="49">
          <cell r="A49" t="str">
            <v>CAF</v>
          </cell>
          <cell r="B49">
            <v>2.3E-2</v>
          </cell>
        </row>
        <row r="50">
          <cell r="A50" t="str">
            <v>CAN</v>
          </cell>
          <cell r="B50">
            <v>36081.497000000003</v>
          </cell>
        </row>
        <row r="51">
          <cell r="A51" t="str">
            <v>CCK</v>
          </cell>
          <cell r="B51">
            <v>0</v>
          </cell>
        </row>
        <row r="52">
          <cell r="A52" t="str">
            <v>CHE</v>
          </cell>
          <cell r="B52">
            <v>85764.168999999994</v>
          </cell>
        </row>
        <row r="53">
          <cell r="A53" t="str">
            <v>CHL</v>
          </cell>
          <cell r="B53">
            <v>5533.8</v>
          </cell>
        </row>
        <row r="54">
          <cell r="A54" t="str">
            <v>CHN</v>
          </cell>
          <cell r="B54">
            <v>62324.23</v>
          </cell>
        </row>
        <row r="55">
          <cell r="A55" t="str">
            <v>CIV</v>
          </cell>
          <cell r="B55">
            <v>44.146999999999998</v>
          </cell>
        </row>
        <row r="56">
          <cell r="A56" t="str">
            <v>CMR</v>
          </cell>
          <cell r="B56">
            <v>38.688000000000002</v>
          </cell>
        </row>
        <row r="57">
          <cell r="A57" t="str">
            <v>COD</v>
          </cell>
          <cell r="B57">
            <v>26.821999999999999</v>
          </cell>
        </row>
        <row r="58">
          <cell r="A58" t="str">
            <v>COG</v>
          </cell>
          <cell r="B58">
            <v>40.284999999999997</v>
          </cell>
        </row>
        <row r="59">
          <cell r="A59" t="str">
            <v>COK</v>
          </cell>
          <cell r="B59">
            <v>0</v>
          </cell>
        </row>
        <row r="60">
          <cell r="A60" t="str">
            <v>COL</v>
          </cell>
          <cell r="B60">
            <v>1914.761</v>
          </cell>
        </row>
        <row r="61">
          <cell r="A61" t="str">
            <v>COM</v>
          </cell>
          <cell r="B61">
            <v>0</v>
          </cell>
        </row>
        <row r="62">
          <cell r="A62" t="str">
            <v>CPV</v>
          </cell>
          <cell r="B62">
            <v>38.944000000000003</v>
          </cell>
        </row>
        <row r="63">
          <cell r="A63" t="str">
            <v>CRI</v>
          </cell>
          <cell r="B63">
            <v>401.80900000000003</v>
          </cell>
        </row>
        <row r="64">
          <cell r="A64" t="str">
            <v>CUB</v>
          </cell>
          <cell r="B64">
            <v>70.426000000000002</v>
          </cell>
        </row>
        <row r="65">
          <cell r="A65" t="str">
            <v>CUW</v>
          </cell>
          <cell r="B65">
            <v>416.779</v>
          </cell>
        </row>
        <row r="66">
          <cell r="A66" t="str">
            <v>CXR</v>
          </cell>
          <cell r="B66">
            <v>0</v>
          </cell>
        </row>
        <row r="67">
          <cell r="A67" t="str">
            <v>CYM</v>
          </cell>
          <cell r="B67">
            <v>42361.661999999997</v>
          </cell>
        </row>
        <row r="68">
          <cell r="A68" t="str">
            <v>CYP</v>
          </cell>
          <cell r="B68">
            <v>3803.6480000000001</v>
          </cell>
        </row>
        <row r="69">
          <cell r="A69" t="str">
            <v>CZE</v>
          </cell>
          <cell r="B69">
            <v>11113.319</v>
          </cell>
        </row>
        <row r="70">
          <cell r="A70" t="str">
            <v>C_W190</v>
          </cell>
          <cell r="B70">
            <v>28362.153999999999</v>
          </cell>
        </row>
        <row r="71">
          <cell r="A71" t="str">
            <v>DEU</v>
          </cell>
          <cell r="B71">
            <v>42261.879000000001</v>
          </cell>
        </row>
        <row r="72">
          <cell r="A72" t="str">
            <v>DJI</v>
          </cell>
          <cell r="B72">
            <v>10.585000000000001</v>
          </cell>
        </row>
        <row r="73">
          <cell r="A73" t="str">
            <v>DMA</v>
          </cell>
          <cell r="B73">
            <v>59.371000000000002</v>
          </cell>
        </row>
        <row r="74">
          <cell r="A74" t="str">
            <v>DNK</v>
          </cell>
          <cell r="B74">
            <v>6024.1639999999998</v>
          </cell>
        </row>
        <row r="75">
          <cell r="A75" t="str">
            <v>DOM</v>
          </cell>
          <cell r="B75">
            <v>608.58900000000006</v>
          </cell>
        </row>
        <row r="76">
          <cell r="A76" t="str">
            <v>DZA</v>
          </cell>
          <cell r="B76">
            <v>933.35699999999997</v>
          </cell>
        </row>
        <row r="77">
          <cell r="A77" t="str">
            <v>E1</v>
          </cell>
          <cell r="B77">
            <v>552285.69499999995</v>
          </cell>
        </row>
        <row r="78">
          <cell r="A78" t="str">
            <v>E19</v>
          </cell>
          <cell r="B78">
            <v>54.991999999999997</v>
          </cell>
        </row>
        <row r="79">
          <cell r="A79" t="str">
            <v>ECU</v>
          </cell>
          <cell r="B79">
            <v>401.31900000000002</v>
          </cell>
        </row>
        <row r="80">
          <cell r="A80" t="str">
            <v>EGY</v>
          </cell>
          <cell r="B80">
            <v>1474.09</v>
          </cell>
        </row>
        <row r="81">
          <cell r="A81" t="str">
            <v>ERI</v>
          </cell>
          <cell r="B81">
            <v>3.5329999999999999</v>
          </cell>
        </row>
        <row r="82">
          <cell r="A82" t="str">
            <v>ESP</v>
          </cell>
          <cell r="B82">
            <v>24967.314999999999</v>
          </cell>
        </row>
        <row r="83">
          <cell r="A83" t="str">
            <v>EST</v>
          </cell>
          <cell r="B83">
            <v>1064.1210000000001</v>
          </cell>
        </row>
        <row r="84">
          <cell r="A84" t="str">
            <v>ETH</v>
          </cell>
          <cell r="B84">
            <v>-52.354999999999997</v>
          </cell>
        </row>
        <row r="85">
          <cell r="A85" t="str">
            <v>F1</v>
          </cell>
          <cell r="B85">
            <v>16194.453</v>
          </cell>
        </row>
        <row r="86">
          <cell r="A86" t="str">
            <v>F19</v>
          </cell>
          <cell r="B86">
            <v>0</v>
          </cell>
        </row>
        <row r="87">
          <cell r="A87" t="str">
            <v>F2</v>
          </cell>
          <cell r="B87">
            <v>6864.48</v>
          </cell>
        </row>
        <row r="88">
          <cell r="A88" t="str">
            <v>F4</v>
          </cell>
          <cell r="B88">
            <v>4113.3329999999996</v>
          </cell>
        </row>
        <row r="89">
          <cell r="A89" t="str">
            <v>F98</v>
          </cell>
          <cell r="B89">
            <v>5030.6499999999996</v>
          </cell>
        </row>
        <row r="90">
          <cell r="A90" t="str">
            <v>FIN</v>
          </cell>
          <cell r="B90">
            <v>5988.2550000000001</v>
          </cell>
        </row>
        <row r="91">
          <cell r="A91" t="str">
            <v>FJI</v>
          </cell>
          <cell r="B91">
            <v>32.552999999999997</v>
          </cell>
        </row>
        <row r="92">
          <cell r="A92" t="str">
            <v>FLK</v>
          </cell>
          <cell r="B92">
            <v>12.489000000000001</v>
          </cell>
        </row>
        <row r="93">
          <cell r="A93" t="str">
            <v>FRA</v>
          </cell>
          <cell r="B93">
            <v>28178.780999999999</v>
          </cell>
        </row>
        <row r="94">
          <cell r="A94" t="str">
            <v>FRO</v>
          </cell>
          <cell r="B94">
            <v>32.683</v>
          </cell>
        </row>
        <row r="95">
          <cell r="A95" t="str">
            <v>FSM</v>
          </cell>
          <cell r="B95">
            <v>1</v>
          </cell>
        </row>
        <row r="96">
          <cell r="A96" t="str">
            <v>GAB</v>
          </cell>
          <cell r="B96">
            <v>-13.308</v>
          </cell>
        </row>
        <row r="97">
          <cell r="A97" t="str">
            <v>GBR</v>
          </cell>
          <cell r="B97">
            <v>140379.68100000001</v>
          </cell>
        </row>
        <row r="98">
          <cell r="A98" t="str">
            <v>GEO</v>
          </cell>
          <cell r="B98">
            <v>120.039</v>
          </cell>
        </row>
        <row r="99">
          <cell r="A99" t="str">
            <v>GGY</v>
          </cell>
          <cell r="B99">
            <v>888.45899999999995</v>
          </cell>
        </row>
        <row r="100">
          <cell r="A100" t="str">
            <v>GHA</v>
          </cell>
          <cell r="B100">
            <v>537.452</v>
          </cell>
        </row>
        <row r="101">
          <cell r="A101" t="str">
            <v>GIB</v>
          </cell>
          <cell r="B101">
            <v>34.305999999999997</v>
          </cell>
        </row>
        <row r="102">
          <cell r="A102" t="str">
            <v>GIN</v>
          </cell>
          <cell r="B102">
            <v>58.320999999999998</v>
          </cell>
        </row>
        <row r="103">
          <cell r="A103" t="str">
            <v>GMB</v>
          </cell>
          <cell r="B103">
            <v>2.8079999999999998</v>
          </cell>
        </row>
        <row r="104">
          <cell r="A104" t="str">
            <v>GNB</v>
          </cell>
          <cell r="B104">
            <v>4.7E-2</v>
          </cell>
        </row>
        <row r="105">
          <cell r="A105" t="str">
            <v>GNQ</v>
          </cell>
          <cell r="B105">
            <v>-1.1120000000000001</v>
          </cell>
        </row>
        <row r="106">
          <cell r="A106" t="str">
            <v>GRC</v>
          </cell>
          <cell r="B106">
            <v>852.88199999999995</v>
          </cell>
        </row>
        <row r="107">
          <cell r="A107" t="str">
            <v>GRD</v>
          </cell>
          <cell r="B107">
            <v>4</v>
          </cell>
        </row>
        <row r="108">
          <cell r="A108" t="str">
            <v>GRL</v>
          </cell>
          <cell r="B108">
            <v>0.45700000000000002</v>
          </cell>
        </row>
        <row r="109">
          <cell r="A109" t="str">
            <v>GTM</v>
          </cell>
          <cell r="B109">
            <v>210.066</v>
          </cell>
        </row>
        <row r="110">
          <cell r="A110" t="str">
            <v>GUM</v>
          </cell>
          <cell r="B110">
            <v>3.7069999999999999</v>
          </cell>
        </row>
        <row r="111">
          <cell r="A111" t="str">
            <v>GUY</v>
          </cell>
          <cell r="B111">
            <v>2.2389999999999999</v>
          </cell>
        </row>
        <row r="112">
          <cell r="A112" t="str">
            <v>HKG</v>
          </cell>
          <cell r="B112">
            <v>29261.023000000001</v>
          </cell>
        </row>
        <row r="113">
          <cell r="A113" t="str">
            <v>HMD</v>
          </cell>
          <cell r="B113">
            <v>3.0000000000000001E-3</v>
          </cell>
        </row>
        <row r="114">
          <cell r="A114" t="str">
            <v>HND</v>
          </cell>
          <cell r="B114">
            <v>340.34800000000001</v>
          </cell>
        </row>
        <row r="115">
          <cell r="A115" t="str">
            <v>HRV</v>
          </cell>
          <cell r="B115">
            <v>1509.6880000000001</v>
          </cell>
        </row>
        <row r="116">
          <cell r="A116" t="str">
            <v>HTI</v>
          </cell>
          <cell r="B116">
            <v>-7.5209999999999999</v>
          </cell>
        </row>
        <row r="117">
          <cell r="A117" t="str">
            <v>HUN</v>
          </cell>
          <cell r="B117">
            <v>5297.0280000000002</v>
          </cell>
        </row>
        <row r="118">
          <cell r="A118" t="str">
            <v>IDN</v>
          </cell>
          <cell r="B118">
            <v>6181.5370000000003</v>
          </cell>
        </row>
        <row r="119">
          <cell r="A119" t="str">
            <v>IMN</v>
          </cell>
          <cell r="B119">
            <v>219.92500000000001</v>
          </cell>
        </row>
        <row r="120">
          <cell r="A120" t="str">
            <v>IND</v>
          </cell>
          <cell r="B120">
            <v>11777.518</v>
          </cell>
        </row>
        <row r="121">
          <cell r="A121" t="str">
            <v>IOT</v>
          </cell>
          <cell r="B121">
            <v>0</v>
          </cell>
        </row>
        <row r="122">
          <cell r="A122" t="str">
            <v>IRL</v>
          </cell>
          <cell r="B122">
            <v>90444.918999999994</v>
          </cell>
        </row>
        <row r="123">
          <cell r="A123" t="str">
            <v>IRN</v>
          </cell>
          <cell r="B123">
            <v>65.358999999999995</v>
          </cell>
        </row>
        <row r="124">
          <cell r="A124" t="str">
            <v>IRQ</v>
          </cell>
          <cell r="B124">
            <v>387.95600000000002</v>
          </cell>
        </row>
        <row r="125">
          <cell r="A125" t="str">
            <v>ISL</v>
          </cell>
          <cell r="B125">
            <v>83.063999999999993</v>
          </cell>
        </row>
        <row r="126">
          <cell r="A126" t="str">
            <v>ISR</v>
          </cell>
          <cell r="B126">
            <v>1633.7090000000001</v>
          </cell>
        </row>
        <row r="127">
          <cell r="A127" t="str">
            <v>ITA</v>
          </cell>
          <cell r="B127">
            <v>20499.905999999999</v>
          </cell>
        </row>
        <row r="128">
          <cell r="A128" t="str">
            <v>JAM</v>
          </cell>
          <cell r="B128">
            <v>97.884</v>
          </cell>
        </row>
        <row r="129">
          <cell r="A129" t="str">
            <v>JEY</v>
          </cell>
          <cell r="B129">
            <v>6546.9769999999999</v>
          </cell>
        </row>
        <row r="130">
          <cell r="A130" t="str">
            <v>JOR</v>
          </cell>
          <cell r="B130">
            <v>81.311999999999998</v>
          </cell>
        </row>
        <row r="131">
          <cell r="A131" t="str">
            <v>JPN</v>
          </cell>
          <cell r="B131">
            <v>18087.455000000002</v>
          </cell>
        </row>
        <row r="132">
          <cell r="A132" t="str">
            <v>KAZ</v>
          </cell>
          <cell r="B132">
            <v>836.85400000000004</v>
          </cell>
        </row>
        <row r="133">
          <cell r="A133" t="str">
            <v>KEN</v>
          </cell>
          <cell r="B133">
            <v>129.55600000000001</v>
          </cell>
        </row>
        <row r="134">
          <cell r="A134" t="str">
            <v>KGZ</v>
          </cell>
          <cell r="B134">
            <v>18.041</v>
          </cell>
        </row>
        <row r="135">
          <cell r="A135" t="str">
            <v>KHM</v>
          </cell>
          <cell r="B135">
            <v>-37.283999999999999</v>
          </cell>
        </row>
        <row r="136">
          <cell r="A136" t="str">
            <v>KIR</v>
          </cell>
          <cell r="B136">
            <v>0</v>
          </cell>
        </row>
        <row r="137">
          <cell r="A137" t="str">
            <v>KNA</v>
          </cell>
          <cell r="B137">
            <v>57.984999999999999</v>
          </cell>
        </row>
        <row r="138">
          <cell r="A138" t="str">
            <v>KOR</v>
          </cell>
          <cell r="B138">
            <v>14760.72</v>
          </cell>
        </row>
        <row r="139">
          <cell r="A139" t="str">
            <v>KWT</v>
          </cell>
          <cell r="B139">
            <v>384.49599999999998</v>
          </cell>
        </row>
        <row r="140">
          <cell r="A140" t="str">
            <v>LAO</v>
          </cell>
          <cell r="B140">
            <v>-38.42</v>
          </cell>
        </row>
        <row r="141">
          <cell r="A141" t="str">
            <v>LBN</v>
          </cell>
          <cell r="B141">
            <v>162.214</v>
          </cell>
        </row>
        <row r="142">
          <cell r="A142" t="str">
            <v>LBR</v>
          </cell>
          <cell r="B142">
            <v>-31.123999999999999</v>
          </cell>
        </row>
        <row r="143">
          <cell r="A143" t="str">
            <v>LBY</v>
          </cell>
          <cell r="B143">
            <v>54.180999999999997</v>
          </cell>
        </row>
        <row r="144">
          <cell r="A144" t="str">
            <v>LCA</v>
          </cell>
          <cell r="B144">
            <v>14.881</v>
          </cell>
        </row>
        <row r="145">
          <cell r="A145" t="str">
            <v>LIE</v>
          </cell>
          <cell r="B145">
            <v>8.3680000000000003</v>
          </cell>
        </row>
        <row r="146">
          <cell r="A146" t="str">
            <v>LKA</v>
          </cell>
          <cell r="B146">
            <v>308.52300000000002</v>
          </cell>
        </row>
        <row r="147">
          <cell r="A147" t="str">
            <v>LSO</v>
          </cell>
          <cell r="B147">
            <v>0</v>
          </cell>
        </row>
        <row r="148">
          <cell r="A148" t="str">
            <v>LTU</v>
          </cell>
          <cell r="B148">
            <v>1276.0530000000001</v>
          </cell>
        </row>
        <row r="149">
          <cell r="A149" t="str">
            <v>LUX</v>
          </cell>
          <cell r="B149">
            <v>80171.165999999997</v>
          </cell>
        </row>
        <row r="150">
          <cell r="A150" t="str">
            <v>LVA</v>
          </cell>
          <cell r="B150">
            <v>780.85500000000002</v>
          </cell>
        </row>
        <row r="151">
          <cell r="A151" t="str">
            <v>MAC</v>
          </cell>
          <cell r="B151">
            <v>629.86800000000005</v>
          </cell>
        </row>
        <row r="152">
          <cell r="A152" t="str">
            <v>MAR</v>
          </cell>
          <cell r="B152">
            <v>1205.3040000000001</v>
          </cell>
        </row>
        <row r="153">
          <cell r="A153" t="str">
            <v>MDA</v>
          </cell>
          <cell r="B153">
            <v>59.283999999999999</v>
          </cell>
        </row>
        <row r="154">
          <cell r="A154" t="str">
            <v>MDG</v>
          </cell>
          <cell r="B154">
            <v>11.298999999999999</v>
          </cell>
        </row>
        <row r="155">
          <cell r="A155" t="str">
            <v>MDV</v>
          </cell>
          <cell r="B155">
            <v>-0.89600000000000002</v>
          </cell>
        </row>
        <row r="156">
          <cell r="A156" t="str">
            <v>MEX</v>
          </cell>
          <cell r="B156">
            <v>22948.524000000001</v>
          </cell>
        </row>
        <row r="157">
          <cell r="A157" t="str">
            <v>MHL</v>
          </cell>
          <cell r="B157">
            <v>80.643000000000001</v>
          </cell>
        </row>
        <row r="158">
          <cell r="A158" t="str">
            <v>MKD</v>
          </cell>
          <cell r="B158">
            <v>160.03899999999999</v>
          </cell>
        </row>
        <row r="159">
          <cell r="A159" t="str">
            <v>MLI</v>
          </cell>
          <cell r="B159">
            <v>6.4930000000000003</v>
          </cell>
        </row>
        <row r="160">
          <cell r="A160" t="str">
            <v>MLT</v>
          </cell>
          <cell r="B160">
            <v>2650.8890000000001</v>
          </cell>
        </row>
        <row r="161">
          <cell r="A161" t="str">
            <v>MMR</v>
          </cell>
          <cell r="B161">
            <v>-9.3010000000000002</v>
          </cell>
        </row>
        <row r="162">
          <cell r="A162" t="str">
            <v>MNE</v>
          </cell>
          <cell r="B162">
            <v>36.558999999999997</v>
          </cell>
        </row>
        <row r="163">
          <cell r="A163" t="str">
            <v>MNG</v>
          </cell>
          <cell r="B163">
            <v>59.018000000000001</v>
          </cell>
        </row>
        <row r="164">
          <cell r="A164" t="str">
            <v>MNP</v>
          </cell>
          <cell r="B164">
            <v>-4.798</v>
          </cell>
        </row>
        <row r="165">
          <cell r="A165" t="str">
            <v>MOZ</v>
          </cell>
          <cell r="B165">
            <v>88.18</v>
          </cell>
        </row>
        <row r="166">
          <cell r="A166" t="str">
            <v>MRT</v>
          </cell>
          <cell r="B166">
            <v>0</v>
          </cell>
        </row>
        <row r="167">
          <cell r="A167" t="str">
            <v>MSR</v>
          </cell>
          <cell r="B167">
            <v>0</v>
          </cell>
        </row>
        <row r="168">
          <cell r="A168" t="str">
            <v>MUS</v>
          </cell>
          <cell r="B168">
            <v>574.52200000000005</v>
          </cell>
        </row>
        <row r="169">
          <cell r="A169" t="str">
            <v>MWI</v>
          </cell>
          <cell r="B169">
            <v>5.6820000000000004</v>
          </cell>
        </row>
        <row r="170">
          <cell r="A170" t="str">
            <v>MYS</v>
          </cell>
          <cell r="B170">
            <v>6061.45</v>
          </cell>
        </row>
        <row r="171">
          <cell r="A171" t="str">
            <v>NAM</v>
          </cell>
          <cell r="B171">
            <v>-14.731</v>
          </cell>
        </row>
        <row r="172">
          <cell r="A172" t="str">
            <v>NCL</v>
          </cell>
          <cell r="B172">
            <v>-7.9000000000000001E-2</v>
          </cell>
        </row>
        <row r="173">
          <cell r="A173" t="str">
            <v>NER</v>
          </cell>
          <cell r="B173">
            <v>1.337</v>
          </cell>
        </row>
        <row r="174">
          <cell r="A174" t="str">
            <v>NFK</v>
          </cell>
          <cell r="B174">
            <v>0</v>
          </cell>
        </row>
        <row r="175">
          <cell r="A175" t="str">
            <v>NGA</v>
          </cell>
          <cell r="B175">
            <v>2118.2089999999998</v>
          </cell>
        </row>
        <row r="176">
          <cell r="A176" t="str">
            <v>NIC</v>
          </cell>
          <cell r="B176">
            <v>-8.1869999999999994</v>
          </cell>
        </row>
        <row r="177">
          <cell r="A177" t="str">
            <v>NIU</v>
          </cell>
          <cell r="B177">
            <v>0</v>
          </cell>
        </row>
        <row r="178">
          <cell r="A178" t="str">
            <v>NLD</v>
          </cell>
          <cell r="B178">
            <v>197028.204</v>
          </cell>
        </row>
        <row r="179">
          <cell r="A179" t="str">
            <v>NOR</v>
          </cell>
          <cell r="B179">
            <v>7787.9440000000004</v>
          </cell>
        </row>
        <row r="180">
          <cell r="A180" t="str">
            <v>NPL</v>
          </cell>
          <cell r="B180">
            <v>6.5540000000000003</v>
          </cell>
        </row>
        <row r="181">
          <cell r="A181" t="str">
            <v>NRU</v>
          </cell>
          <cell r="B181">
            <v>0</v>
          </cell>
        </row>
        <row r="182">
          <cell r="A182" t="str">
            <v>NZL</v>
          </cell>
          <cell r="B182">
            <v>4113.9309999999996</v>
          </cell>
        </row>
        <row r="183">
          <cell r="A183" t="str">
            <v>O1</v>
          </cell>
          <cell r="B183">
            <v>29099.343000000001</v>
          </cell>
        </row>
        <row r="184">
          <cell r="A184" t="str">
            <v>O19</v>
          </cell>
          <cell r="B184">
            <v>0</v>
          </cell>
        </row>
        <row r="185">
          <cell r="A185" t="str">
            <v>OMN</v>
          </cell>
          <cell r="B185">
            <v>785.16</v>
          </cell>
        </row>
        <row r="186">
          <cell r="A186" t="str">
            <v>P0</v>
          </cell>
          <cell r="B186">
            <v>1052292.2560000001</v>
          </cell>
        </row>
        <row r="187">
          <cell r="A187" t="str">
            <v>P00</v>
          </cell>
          <cell r="B187">
            <v>437569.95299999998</v>
          </cell>
        </row>
        <row r="188">
          <cell r="A188" t="str">
            <v>P1</v>
          </cell>
          <cell r="B188">
            <v>453227.70600000001</v>
          </cell>
        </row>
        <row r="189">
          <cell r="A189" t="str">
            <v>P4</v>
          </cell>
          <cell r="B189">
            <v>478567.34399999998</v>
          </cell>
        </row>
        <row r="190">
          <cell r="A190" t="str">
            <v>PAK</v>
          </cell>
          <cell r="B190">
            <v>675.72</v>
          </cell>
        </row>
        <row r="191">
          <cell r="A191" t="str">
            <v>PAN</v>
          </cell>
          <cell r="B191">
            <v>813.21699999999998</v>
          </cell>
        </row>
        <row r="192">
          <cell r="A192" t="str">
            <v>PCN</v>
          </cell>
          <cell r="B192">
            <v>2</v>
          </cell>
        </row>
        <row r="193">
          <cell r="A193" t="str">
            <v>PER</v>
          </cell>
          <cell r="B193">
            <v>859.47699999999998</v>
          </cell>
        </row>
        <row r="194">
          <cell r="A194" t="str">
            <v>PHL</v>
          </cell>
          <cell r="B194">
            <v>3931.248</v>
          </cell>
        </row>
        <row r="195">
          <cell r="A195" t="str">
            <v>PLW</v>
          </cell>
          <cell r="B195">
            <v>2</v>
          </cell>
        </row>
        <row r="196">
          <cell r="A196" t="str">
            <v>PNG</v>
          </cell>
          <cell r="B196">
            <v>420.572</v>
          </cell>
        </row>
        <row r="197">
          <cell r="A197" t="str">
            <v>POL</v>
          </cell>
          <cell r="B197">
            <v>12408.945</v>
          </cell>
        </row>
        <row r="198">
          <cell r="A198" t="str">
            <v>PRK</v>
          </cell>
          <cell r="B198">
            <v>0.32900000000000001</v>
          </cell>
        </row>
        <row r="199">
          <cell r="A199" t="str">
            <v>PRT</v>
          </cell>
          <cell r="B199">
            <v>5767.5290000000005</v>
          </cell>
        </row>
        <row r="200">
          <cell r="A200" t="str">
            <v>PRY</v>
          </cell>
          <cell r="B200">
            <v>180.47200000000001</v>
          </cell>
        </row>
        <row r="201">
          <cell r="A201" t="str">
            <v>PSE</v>
          </cell>
          <cell r="B201">
            <v>10.180999999999999</v>
          </cell>
        </row>
        <row r="202">
          <cell r="A202" t="str">
            <v>PYF</v>
          </cell>
          <cell r="B202">
            <v>-3.8809999999999998</v>
          </cell>
        </row>
        <row r="203">
          <cell r="A203" t="str">
            <v>QAT</v>
          </cell>
          <cell r="B203">
            <v>4988.75</v>
          </cell>
        </row>
        <row r="204">
          <cell r="A204" t="str">
            <v>R1</v>
          </cell>
          <cell r="B204">
            <v>-2.4820000000000002</v>
          </cell>
        </row>
        <row r="205">
          <cell r="A205" t="str">
            <v>R220</v>
          </cell>
          <cell r="B205">
            <v>410572.62900000002</v>
          </cell>
        </row>
        <row r="206">
          <cell r="A206" t="str">
            <v>R221</v>
          </cell>
          <cell r="B206">
            <v>372956.908</v>
          </cell>
        </row>
        <row r="207">
          <cell r="A207" t="str">
            <v>R222</v>
          </cell>
          <cell r="B207">
            <v>85018.206999999995</v>
          </cell>
        </row>
        <row r="208">
          <cell r="A208" t="str">
            <v>R25</v>
          </cell>
          <cell r="B208">
            <v>76756.448000000004</v>
          </cell>
        </row>
        <row r="209">
          <cell r="A209" t="str">
            <v>R251</v>
          </cell>
          <cell r="B209">
            <v>6806.4769999999999</v>
          </cell>
        </row>
        <row r="210">
          <cell r="A210" t="str">
            <v>R252</v>
          </cell>
          <cell r="B210">
            <v>6730.4459999999999</v>
          </cell>
        </row>
        <row r="211">
          <cell r="A211" t="str">
            <v>R253</v>
          </cell>
          <cell r="B211">
            <v>17455.350999999999</v>
          </cell>
        </row>
        <row r="212">
          <cell r="A212" t="str">
            <v>R254</v>
          </cell>
          <cell r="B212">
            <v>45691.544000000002</v>
          </cell>
        </row>
        <row r="213">
          <cell r="A213" t="str">
            <v>R255</v>
          </cell>
          <cell r="B213">
            <v>62.345999999999997</v>
          </cell>
        </row>
        <row r="214">
          <cell r="A214" t="str">
            <v>R4</v>
          </cell>
          <cell r="B214">
            <v>62767.247000000003</v>
          </cell>
        </row>
        <row r="215">
          <cell r="A215" t="str">
            <v>ROM</v>
          </cell>
          <cell r="B215">
            <v>5007.32</v>
          </cell>
        </row>
        <row r="216">
          <cell r="A216" t="str">
            <v>RUS</v>
          </cell>
          <cell r="B216">
            <v>19393.347000000002</v>
          </cell>
        </row>
        <row r="217">
          <cell r="A217" t="str">
            <v>RWA</v>
          </cell>
          <cell r="B217">
            <v>0.84199999999999997</v>
          </cell>
        </row>
        <row r="218">
          <cell r="A218" t="str">
            <v>S1</v>
          </cell>
          <cell r="B218">
            <v>173346.807</v>
          </cell>
        </row>
        <row r="219">
          <cell r="A219" t="str">
            <v>S19</v>
          </cell>
          <cell r="B219">
            <v>0</v>
          </cell>
        </row>
        <row r="220">
          <cell r="A220" t="str">
            <v>S3</v>
          </cell>
          <cell r="B220">
            <v>9005.6139999999996</v>
          </cell>
        </row>
        <row r="221">
          <cell r="A221" t="str">
            <v>S35</v>
          </cell>
          <cell r="B221">
            <v>9316.0280000000002</v>
          </cell>
        </row>
        <row r="222">
          <cell r="A222" t="str">
            <v>S37</v>
          </cell>
          <cell r="B222">
            <v>1542.6559999999999</v>
          </cell>
        </row>
        <row r="223">
          <cell r="A223" t="str">
            <v>S6</v>
          </cell>
          <cell r="B223">
            <v>164242.30600000001</v>
          </cell>
        </row>
        <row r="224">
          <cell r="A224" t="str">
            <v>SAU</v>
          </cell>
          <cell r="B224">
            <v>2623.3</v>
          </cell>
        </row>
        <row r="225">
          <cell r="A225" t="str">
            <v>SCG</v>
          </cell>
          <cell r="B225">
            <v>2E-3</v>
          </cell>
        </row>
        <row r="226">
          <cell r="A226" t="str">
            <v>SDN</v>
          </cell>
          <cell r="B226">
            <v>0.158</v>
          </cell>
        </row>
        <row r="227">
          <cell r="A227" t="str">
            <v>SEN</v>
          </cell>
          <cell r="B227">
            <v>3.9940000000000002</v>
          </cell>
        </row>
        <row r="228">
          <cell r="A228" t="str">
            <v>SGP</v>
          </cell>
          <cell r="B228">
            <v>71986.789000000004</v>
          </cell>
        </row>
        <row r="229">
          <cell r="A229" t="str">
            <v>SGS</v>
          </cell>
          <cell r="B229">
            <v>0</v>
          </cell>
        </row>
        <row r="230">
          <cell r="A230" t="str">
            <v>SHN</v>
          </cell>
          <cell r="B230">
            <v>1</v>
          </cell>
        </row>
        <row r="231">
          <cell r="A231" t="str">
            <v>SLB</v>
          </cell>
          <cell r="B231">
            <v>17.933</v>
          </cell>
        </row>
        <row r="232">
          <cell r="A232" t="str">
            <v>SLE</v>
          </cell>
          <cell r="B232">
            <v>0.51400000000000001</v>
          </cell>
        </row>
        <row r="233">
          <cell r="A233" t="str">
            <v>SLV</v>
          </cell>
          <cell r="B233">
            <v>490.95600000000002</v>
          </cell>
        </row>
        <row r="234">
          <cell r="A234" t="str">
            <v>SMR</v>
          </cell>
          <cell r="B234">
            <v>14.291</v>
          </cell>
        </row>
        <row r="235">
          <cell r="A235" t="str">
            <v>SOM</v>
          </cell>
          <cell r="B235">
            <v>3.7360000000000002</v>
          </cell>
        </row>
        <row r="236">
          <cell r="A236" t="str">
            <v>SRB</v>
          </cell>
          <cell r="B236">
            <v>652.899</v>
          </cell>
        </row>
        <row r="237">
          <cell r="A237" t="str">
            <v>SSD</v>
          </cell>
          <cell r="B237">
            <v>-8</v>
          </cell>
        </row>
        <row r="238">
          <cell r="A238" t="str">
            <v>STP</v>
          </cell>
          <cell r="B238">
            <v>2.2389999999999999</v>
          </cell>
        </row>
        <row r="239">
          <cell r="A239" t="str">
            <v>SUR</v>
          </cell>
          <cell r="B239">
            <v>4.2510000000000003</v>
          </cell>
        </row>
        <row r="240">
          <cell r="A240" t="str">
            <v>SVK</v>
          </cell>
          <cell r="B240">
            <v>3537.3330000000001</v>
          </cell>
        </row>
        <row r="241">
          <cell r="A241" t="str">
            <v>SVN</v>
          </cell>
          <cell r="B241">
            <v>835.34100000000001</v>
          </cell>
        </row>
        <row r="242">
          <cell r="A242" t="str">
            <v>SWE</v>
          </cell>
          <cell r="B242">
            <v>18838.214</v>
          </cell>
        </row>
        <row r="243">
          <cell r="A243" t="str">
            <v>SWZ</v>
          </cell>
          <cell r="B243">
            <v>-0.67</v>
          </cell>
        </row>
        <row r="244">
          <cell r="A244" t="str">
            <v>SXM</v>
          </cell>
          <cell r="B244">
            <v>-12.868</v>
          </cell>
        </row>
        <row r="245">
          <cell r="A245" t="str">
            <v>SYC</v>
          </cell>
          <cell r="B245">
            <v>176.006</v>
          </cell>
        </row>
        <row r="246">
          <cell r="A246" t="str">
            <v>SYR</v>
          </cell>
          <cell r="B246">
            <v>1.069</v>
          </cell>
        </row>
        <row r="247">
          <cell r="A247" t="str">
            <v>TCA</v>
          </cell>
          <cell r="B247">
            <v>0</v>
          </cell>
        </row>
        <row r="248">
          <cell r="A248" t="str">
            <v>TCD</v>
          </cell>
          <cell r="B248">
            <v>4.6790000000000003</v>
          </cell>
        </row>
        <row r="249">
          <cell r="A249" t="str">
            <v>TGO</v>
          </cell>
          <cell r="B249">
            <v>14.779</v>
          </cell>
        </row>
        <row r="250">
          <cell r="A250" t="str">
            <v>THA</v>
          </cell>
          <cell r="B250">
            <v>12379.15</v>
          </cell>
        </row>
        <row r="251">
          <cell r="A251" t="str">
            <v>TJK</v>
          </cell>
          <cell r="B251">
            <v>116.047</v>
          </cell>
        </row>
        <row r="252">
          <cell r="A252" t="str">
            <v>TKL</v>
          </cell>
          <cell r="B252">
            <v>1.119</v>
          </cell>
        </row>
        <row r="253">
          <cell r="A253" t="str">
            <v>TKM</v>
          </cell>
          <cell r="B253">
            <v>-4.7350000000000003</v>
          </cell>
        </row>
        <row r="254">
          <cell r="A254" t="str">
            <v>TLS</v>
          </cell>
          <cell r="B254">
            <v>0</v>
          </cell>
        </row>
        <row r="255">
          <cell r="A255" t="str">
            <v>TON</v>
          </cell>
          <cell r="B255">
            <v>0</v>
          </cell>
        </row>
        <row r="256">
          <cell r="A256" t="str">
            <v>TTO</v>
          </cell>
          <cell r="B256">
            <v>112.627</v>
          </cell>
        </row>
        <row r="257">
          <cell r="A257" t="str">
            <v>TUN</v>
          </cell>
          <cell r="B257">
            <v>208.60499999999999</v>
          </cell>
        </row>
        <row r="258">
          <cell r="A258" t="str">
            <v>TUR</v>
          </cell>
          <cell r="B258">
            <v>5384.549</v>
          </cell>
        </row>
        <row r="259">
          <cell r="A259" t="str">
            <v>TUV</v>
          </cell>
          <cell r="B259">
            <v>0</v>
          </cell>
        </row>
        <row r="260">
          <cell r="A260" t="str">
            <v>TWN</v>
          </cell>
          <cell r="B260">
            <v>3328.2550000000001</v>
          </cell>
        </row>
        <row r="261">
          <cell r="A261" t="str">
            <v>TZA</v>
          </cell>
          <cell r="B261">
            <v>90.265000000000001</v>
          </cell>
        </row>
        <row r="262">
          <cell r="A262" t="str">
            <v>UGA</v>
          </cell>
          <cell r="B262">
            <v>8.7189999999999994</v>
          </cell>
        </row>
        <row r="263">
          <cell r="A263" t="str">
            <v>UKR</v>
          </cell>
          <cell r="B263">
            <v>2554.6289999999999</v>
          </cell>
        </row>
        <row r="264">
          <cell r="A264" t="str">
            <v>UMI</v>
          </cell>
          <cell r="B264">
            <v>1.119</v>
          </cell>
        </row>
        <row r="265">
          <cell r="A265" t="str">
            <v>URY</v>
          </cell>
          <cell r="B265">
            <v>1516.8689999999999</v>
          </cell>
        </row>
        <row r="266">
          <cell r="A266" t="str">
            <v>USA</v>
          </cell>
          <cell r="B266">
            <v>164080.459</v>
          </cell>
        </row>
        <row r="267">
          <cell r="A267" t="str">
            <v>UZB</v>
          </cell>
          <cell r="B267">
            <v>25.053000000000001</v>
          </cell>
        </row>
        <row r="268">
          <cell r="A268" t="str">
            <v>VAT</v>
          </cell>
          <cell r="B268">
            <v>1E-3</v>
          </cell>
        </row>
        <row r="269">
          <cell r="A269" t="str">
            <v>VCT</v>
          </cell>
          <cell r="B269">
            <v>1.7</v>
          </cell>
        </row>
        <row r="270">
          <cell r="A270" t="str">
            <v>VEN</v>
          </cell>
          <cell r="B270">
            <v>793.37099999999998</v>
          </cell>
        </row>
        <row r="271">
          <cell r="A271" t="str">
            <v>VGB</v>
          </cell>
          <cell r="B271">
            <v>197.80799999999999</v>
          </cell>
        </row>
        <row r="272">
          <cell r="A272" t="str">
            <v>VIR</v>
          </cell>
          <cell r="B272">
            <v>15.926</v>
          </cell>
        </row>
        <row r="273">
          <cell r="A273" t="str">
            <v>VNM</v>
          </cell>
          <cell r="B273">
            <v>3211.8130000000001</v>
          </cell>
        </row>
        <row r="274">
          <cell r="A274" t="str">
            <v>VUT</v>
          </cell>
          <cell r="B274">
            <v>0.79300000000000004</v>
          </cell>
        </row>
        <row r="275">
          <cell r="A275" t="str">
            <v>W0</v>
          </cell>
          <cell r="B275">
            <v>1656281.415</v>
          </cell>
        </row>
        <row r="276">
          <cell r="A276" t="str">
            <v>W190</v>
          </cell>
          <cell r="B276">
            <v>76.599000000000004</v>
          </cell>
        </row>
        <row r="277">
          <cell r="A277" t="str">
            <v>WLF</v>
          </cell>
          <cell r="B277">
            <v>0</v>
          </cell>
        </row>
        <row r="278">
          <cell r="A278" t="str">
            <v>WSM</v>
          </cell>
          <cell r="B278">
            <v>-1</v>
          </cell>
        </row>
        <row r="279">
          <cell r="A279" t="str">
            <v>XKO</v>
          </cell>
          <cell r="B279">
            <v>25.936</v>
          </cell>
        </row>
        <row r="280">
          <cell r="A280" t="str">
            <v>YEM</v>
          </cell>
          <cell r="B280">
            <v>1.397</v>
          </cell>
        </row>
        <row r="281">
          <cell r="A281" t="str">
            <v>ZAF</v>
          </cell>
          <cell r="B281">
            <v>2974.5450000000001</v>
          </cell>
        </row>
        <row r="282">
          <cell r="A282" t="str">
            <v>ZMB</v>
          </cell>
          <cell r="B282">
            <v>2.5089999999999999</v>
          </cell>
        </row>
        <row r="283">
          <cell r="A283" t="str">
            <v>ZWE</v>
          </cell>
          <cell r="B283">
            <v>-44.954000000000001</v>
          </cell>
        </row>
        <row r="284">
          <cell r="A284" t="str">
            <v>Total</v>
          </cell>
          <cell r="B284">
            <v>9093642.3479999993</v>
          </cell>
        </row>
      </sheetData>
      <sheetData sheetId="11">
        <row r="1">
          <cell r="A1" t="str">
            <v>counterpart_area</v>
          </cell>
          <cell r="B1" t="str">
            <v>Sum</v>
          </cell>
        </row>
        <row r="2">
          <cell r="B2" t="str">
            <v>value</v>
          </cell>
        </row>
        <row r="3">
          <cell r="A3" t="str">
            <v>A1</v>
          </cell>
          <cell r="B3">
            <v>199801.19099999999</v>
          </cell>
        </row>
        <row r="4">
          <cell r="A4" t="str">
            <v>A19</v>
          </cell>
          <cell r="B4">
            <v>0</v>
          </cell>
        </row>
        <row r="5">
          <cell r="A5" t="str">
            <v>A2</v>
          </cell>
          <cell r="B5">
            <v>131256.636</v>
          </cell>
        </row>
        <row r="6">
          <cell r="A6" t="str">
            <v>A5</v>
          </cell>
          <cell r="B6">
            <v>33042.311000000002</v>
          </cell>
        </row>
        <row r="7">
          <cell r="A7" t="str">
            <v>A7</v>
          </cell>
          <cell r="B7">
            <v>501.55200000000002</v>
          </cell>
        </row>
        <row r="8">
          <cell r="A8" t="str">
            <v>ABW</v>
          </cell>
          <cell r="B8">
            <v>186.947</v>
          </cell>
        </row>
        <row r="9">
          <cell r="A9" t="str">
            <v>AFG</v>
          </cell>
          <cell r="B9">
            <v>-0.97</v>
          </cell>
        </row>
        <row r="10">
          <cell r="A10" t="str">
            <v>AGO</v>
          </cell>
          <cell r="B10">
            <v>1.673</v>
          </cell>
        </row>
        <row r="11">
          <cell r="A11" t="str">
            <v>AIA</v>
          </cell>
          <cell r="B11">
            <v>1.778</v>
          </cell>
        </row>
        <row r="12">
          <cell r="A12" t="str">
            <v>ALB</v>
          </cell>
          <cell r="B12">
            <v>-3.5999999999999997E-2</v>
          </cell>
        </row>
        <row r="13">
          <cell r="A13" t="str">
            <v>AND</v>
          </cell>
          <cell r="B13">
            <v>14.688000000000001</v>
          </cell>
        </row>
        <row r="14">
          <cell r="A14" t="str">
            <v>ANT</v>
          </cell>
          <cell r="B14">
            <v>0</v>
          </cell>
        </row>
        <row r="15">
          <cell r="A15" t="str">
            <v>ARE</v>
          </cell>
          <cell r="B15">
            <v>2298.8449999999998</v>
          </cell>
        </row>
        <row r="16">
          <cell r="A16" t="str">
            <v>ARG</v>
          </cell>
          <cell r="B16">
            <v>220.00700000000001</v>
          </cell>
        </row>
        <row r="17">
          <cell r="A17" t="str">
            <v>ARM</v>
          </cell>
          <cell r="B17">
            <v>5.944</v>
          </cell>
        </row>
        <row r="18">
          <cell r="A18" t="str">
            <v>ASM</v>
          </cell>
          <cell r="B18">
            <v>1.873</v>
          </cell>
        </row>
        <row r="19">
          <cell r="A19" t="str">
            <v>ATA</v>
          </cell>
          <cell r="B19">
            <v>0</v>
          </cell>
        </row>
        <row r="20">
          <cell r="A20" t="str">
            <v>ATF</v>
          </cell>
          <cell r="B20">
            <v>0</v>
          </cell>
        </row>
        <row r="21">
          <cell r="A21" t="str">
            <v>ATG</v>
          </cell>
          <cell r="B21">
            <v>0</v>
          </cell>
        </row>
        <row r="22">
          <cell r="A22" t="str">
            <v>AUS</v>
          </cell>
          <cell r="B22">
            <v>6982.01</v>
          </cell>
        </row>
        <row r="23">
          <cell r="A23" t="str">
            <v>AUT</v>
          </cell>
          <cell r="B23">
            <v>12660.477000000001</v>
          </cell>
        </row>
        <row r="24">
          <cell r="A24" t="str">
            <v>AZE</v>
          </cell>
          <cell r="B24">
            <v>-1.5009999999999999</v>
          </cell>
        </row>
        <row r="25">
          <cell r="A25" t="str">
            <v>B2</v>
          </cell>
          <cell r="B25">
            <v>4151.2340000000004</v>
          </cell>
        </row>
        <row r="26">
          <cell r="A26" t="str">
            <v>B3</v>
          </cell>
          <cell r="B26">
            <v>4544.4059999999999</v>
          </cell>
        </row>
        <row r="27">
          <cell r="A27" t="str">
            <v>B4</v>
          </cell>
          <cell r="B27">
            <v>4544.518</v>
          </cell>
        </row>
        <row r="28">
          <cell r="A28" t="str">
            <v>B5</v>
          </cell>
          <cell r="B28">
            <v>526042.56700000004</v>
          </cell>
        </row>
        <row r="29">
          <cell r="A29" t="str">
            <v>BDI</v>
          </cell>
          <cell r="B29">
            <v>0</v>
          </cell>
        </row>
        <row r="30">
          <cell r="A30" t="str">
            <v>BEL</v>
          </cell>
          <cell r="B30">
            <v>22768.156999999999</v>
          </cell>
        </row>
        <row r="31">
          <cell r="A31" t="str">
            <v>BEN</v>
          </cell>
          <cell r="B31">
            <v>0</v>
          </cell>
        </row>
        <row r="32">
          <cell r="A32" t="str">
            <v>BES</v>
          </cell>
          <cell r="B32">
            <v>1.861</v>
          </cell>
        </row>
        <row r="33">
          <cell r="A33" t="str">
            <v>BFA</v>
          </cell>
          <cell r="B33">
            <v>0</v>
          </cell>
        </row>
        <row r="34">
          <cell r="A34" t="str">
            <v>BGD</v>
          </cell>
          <cell r="B34">
            <v>19.704000000000001</v>
          </cell>
        </row>
        <row r="35">
          <cell r="A35" t="str">
            <v>BGR</v>
          </cell>
          <cell r="B35">
            <v>125.69199999999999</v>
          </cell>
        </row>
        <row r="36">
          <cell r="A36" t="str">
            <v>BHR</v>
          </cell>
          <cell r="B36">
            <v>69.143000000000001</v>
          </cell>
        </row>
        <row r="37">
          <cell r="A37" t="str">
            <v>BHS</v>
          </cell>
          <cell r="B37">
            <v>2027.415</v>
          </cell>
        </row>
        <row r="38">
          <cell r="A38" t="str">
            <v>BIH</v>
          </cell>
          <cell r="B38">
            <v>14.712999999999999</v>
          </cell>
        </row>
        <row r="39">
          <cell r="A39" t="str">
            <v>BLR</v>
          </cell>
          <cell r="B39">
            <v>64.691000000000003</v>
          </cell>
        </row>
        <row r="40">
          <cell r="A40" t="str">
            <v>BLZ</v>
          </cell>
          <cell r="B40">
            <v>-2.556</v>
          </cell>
        </row>
        <row r="41">
          <cell r="A41" t="str">
            <v>BMU</v>
          </cell>
          <cell r="B41">
            <v>17175.102999999999</v>
          </cell>
        </row>
        <row r="42">
          <cell r="A42" t="str">
            <v>BOL</v>
          </cell>
          <cell r="B42">
            <v>19.21</v>
          </cell>
        </row>
        <row r="43">
          <cell r="A43" t="str">
            <v>BRA</v>
          </cell>
          <cell r="B43">
            <v>-1444.972</v>
          </cell>
        </row>
        <row r="44">
          <cell r="A44" t="str">
            <v>BRB</v>
          </cell>
          <cell r="B44">
            <v>3821.9450000000002</v>
          </cell>
        </row>
        <row r="45">
          <cell r="A45" t="str">
            <v>BRN</v>
          </cell>
          <cell r="B45">
            <v>146.45099999999999</v>
          </cell>
        </row>
        <row r="46">
          <cell r="A46" t="str">
            <v>BTN</v>
          </cell>
          <cell r="B46">
            <v>2E-3</v>
          </cell>
        </row>
        <row r="47">
          <cell r="A47" t="str">
            <v>BVT</v>
          </cell>
          <cell r="B47">
            <v>0</v>
          </cell>
        </row>
        <row r="48">
          <cell r="A48" t="str">
            <v>BWA</v>
          </cell>
          <cell r="B48">
            <v>9.7289999999999992</v>
          </cell>
        </row>
        <row r="49">
          <cell r="A49" t="str">
            <v>CAF</v>
          </cell>
          <cell r="B49">
            <v>0</v>
          </cell>
        </row>
        <row r="50">
          <cell r="A50" t="str">
            <v>CAN</v>
          </cell>
          <cell r="B50">
            <v>37640.504999999997</v>
          </cell>
        </row>
        <row r="51">
          <cell r="A51" t="str">
            <v>CCK</v>
          </cell>
          <cell r="B51">
            <v>0</v>
          </cell>
        </row>
        <row r="52">
          <cell r="A52" t="str">
            <v>CHE</v>
          </cell>
          <cell r="B52">
            <v>71121.652000000002</v>
          </cell>
        </row>
        <row r="53">
          <cell r="A53" t="str">
            <v>CHL</v>
          </cell>
          <cell r="B53">
            <v>229.89400000000001</v>
          </cell>
        </row>
        <row r="54">
          <cell r="A54" t="str">
            <v>CHN</v>
          </cell>
          <cell r="B54">
            <v>4885.5709999999999</v>
          </cell>
        </row>
        <row r="55">
          <cell r="A55" t="str">
            <v>CIV</v>
          </cell>
          <cell r="B55">
            <v>349.29700000000003</v>
          </cell>
        </row>
        <row r="56">
          <cell r="A56" t="str">
            <v>CMR</v>
          </cell>
          <cell r="B56">
            <v>-19.027999999999999</v>
          </cell>
        </row>
        <row r="57">
          <cell r="A57" t="str">
            <v>COD</v>
          </cell>
          <cell r="B57">
            <v>3.3000000000000002E-2</v>
          </cell>
        </row>
        <row r="58">
          <cell r="A58" t="str">
            <v>COG</v>
          </cell>
          <cell r="B58">
            <v>-4.4999999999999998E-2</v>
          </cell>
        </row>
        <row r="59">
          <cell r="A59" t="str">
            <v>COK</v>
          </cell>
          <cell r="B59">
            <v>-1.5369999999999999</v>
          </cell>
        </row>
        <row r="60">
          <cell r="A60" t="str">
            <v>COL</v>
          </cell>
          <cell r="B60">
            <v>45.655999999999999</v>
          </cell>
        </row>
        <row r="61">
          <cell r="A61" t="str">
            <v>COM</v>
          </cell>
          <cell r="B61">
            <v>8.0000000000000002E-3</v>
          </cell>
        </row>
        <row r="62">
          <cell r="A62" t="str">
            <v>CPV</v>
          </cell>
          <cell r="B62">
            <v>1E-3</v>
          </cell>
        </row>
        <row r="63">
          <cell r="A63" t="str">
            <v>CRI</v>
          </cell>
          <cell r="B63">
            <v>139.80000000000001</v>
          </cell>
        </row>
        <row r="64">
          <cell r="A64" t="str">
            <v>CUB</v>
          </cell>
          <cell r="B64">
            <v>7.8360000000000003</v>
          </cell>
        </row>
        <row r="65">
          <cell r="A65" t="str">
            <v>CUW</v>
          </cell>
          <cell r="B65">
            <v>549.19799999999998</v>
          </cell>
        </row>
        <row r="66">
          <cell r="A66" t="str">
            <v>CXR</v>
          </cell>
          <cell r="B66">
            <v>0</v>
          </cell>
        </row>
        <row r="67">
          <cell r="A67" t="str">
            <v>CYM</v>
          </cell>
          <cell r="B67">
            <v>14991.924999999999</v>
          </cell>
        </row>
        <row r="68">
          <cell r="A68" t="str">
            <v>CYP</v>
          </cell>
          <cell r="B68">
            <v>5281.18</v>
          </cell>
        </row>
        <row r="69">
          <cell r="A69" t="str">
            <v>CZE</v>
          </cell>
          <cell r="B69">
            <v>744.16300000000001</v>
          </cell>
        </row>
        <row r="70">
          <cell r="A70" t="str">
            <v>C_W190</v>
          </cell>
          <cell r="B70">
            <v>32350.196</v>
          </cell>
        </row>
        <row r="71">
          <cell r="A71" t="str">
            <v>DEU</v>
          </cell>
          <cell r="B71">
            <v>71982.277000000002</v>
          </cell>
        </row>
        <row r="72">
          <cell r="A72" t="str">
            <v>DJI</v>
          </cell>
          <cell r="B72">
            <v>5.8999999999999997E-2</v>
          </cell>
        </row>
        <row r="73">
          <cell r="A73" t="str">
            <v>DMA</v>
          </cell>
          <cell r="B73">
            <v>-6.2380000000000004</v>
          </cell>
        </row>
        <row r="74">
          <cell r="A74" t="str">
            <v>DNK</v>
          </cell>
          <cell r="B74">
            <v>10676.37</v>
          </cell>
        </row>
        <row r="75">
          <cell r="A75" t="str">
            <v>DOM</v>
          </cell>
          <cell r="B75">
            <v>10.37</v>
          </cell>
        </row>
        <row r="76">
          <cell r="A76" t="str">
            <v>DZA</v>
          </cell>
          <cell r="B76">
            <v>49.366</v>
          </cell>
        </row>
        <row r="77">
          <cell r="A77" t="str">
            <v>E1</v>
          </cell>
          <cell r="B77">
            <v>691404.89599999995</v>
          </cell>
        </row>
        <row r="78">
          <cell r="A78" t="str">
            <v>E19</v>
          </cell>
          <cell r="B78">
            <v>11.148999999999999</v>
          </cell>
        </row>
        <row r="79">
          <cell r="A79" t="str">
            <v>ECU</v>
          </cell>
          <cell r="B79">
            <v>-3.0430000000000001</v>
          </cell>
        </row>
        <row r="80">
          <cell r="A80" t="str">
            <v>EGY</v>
          </cell>
          <cell r="B80">
            <v>-22.869</v>
          </cell>
        </row>
        <row r="81">
          <cell r="A81" t="str">
            <v>ERI</v>
          </cell>
          <cell r="B81">
            <v>4.4999999999999998E-2</v>
          </cell>
        </row>
        <row r="82">
          <cell r="A82" t="str">
            <v>ESP</v>
          </cell>
          <cell r="B82">
            <v>10247.888000000001</v>
          </cell>
        </row>
        <row r="83">
          <cell r="A83" t="str">
            <v>EST</v>
          </cell>
          <cell r="B83">
            <v>506.08800000000002</v>
          </cell>
        </row>
        <row r="84">
          <cell r="A84" t="str">
            <v>ETH</v>
          </cell>
          <cell r="B84">
            <v>3.3000000000000002E-2</v>
          </cell>
        </row>
        <row r="85">
          <cell r="A85" t="str">
            <v>F1</v>
          </cell>
          <cell r="B85">
            <v>1926.2339999999999</v>
          </cell>
        </row>
        <row r="86">
          <cell r="A86" t="str">
            <v>F19</v>
          </cell>
          <cell r="B86">
            <v>0</v>
          </cell>
        </row>
        <row r="87">
          <cell r="A87" t="str">
            <v>F2</v>
          </cell>
          <cell r="B87">
            <v>879.75</v>
          </cell>
        </row>
        <row r="88">
          <cell r="A88" t="str">
            <v>F4</v>
          </cell>
          <cell r="B88">
            <v>57.127000000000002</v>
          </cell>
        </row>
        <row r="89">
          <cell r="A89" t="str">
            <v>F98</v>
          </cell>
          <cell r="B89">
            <v>4238.0889999999999</v>
          </cell>
        </row>
        <row r="90">
          <cell r="A90" t="str">
            <v>FIN</v>
          </cell>
          <cell r="B90">
            <v>7491.7659999999996</v>
          </cell>
        </row>
        <row r="91">
          <cell r="A91" t="str">
            <v>FJI</v>
          </cell>
          <cell r="B91">
            <v>0.02</v>
          </cell>
        </row>
        <row r="92">
          <cell r="A92" t="str">
            <v>FLK</v>
          </cell>
          <cell r="B92">
            <v>-11.993</v>
          </cell>
        </row>
        <row r="93">
          <cell r="A93" t="str">
            <v>FRA</v>
          </cell>
          <cell r="B93">
            <v>50385.101000000002</v>
          </cell>
        </row>
        <row r="94">
          <cell r="A94" t="str">
            <v>FRO</v>
          </cell>
          <cell r="B94">
            <v>2.633</v>
          </cell>
        </row>
        <row r="95">
          <cell r="A95" t="str">
            <v>FSM</v>
          </cell>
          <cell r="B95">
            <v>-7.8E-2</v>
          </cell>
        </row>
        <row r="96">
          <cell r="A96" t="str">
            <v>GAB</v>
          </cell>
          <cell r="B96">
            <v>2E-3</v>
          </cell>
        </row>
        <row r="97">
          <cell r="A97" t="str">
            <v>GBR</v>
          </cell>
          <cell r="B97">
            <v>80390.956999999995</v>
          </cell>
        </row>
        <row r="98">
          <cell r="A98" t="str">
            <v>GEO</v>
          </cell>
          <cell r="B98">
            <v>23.564</v>
          </cell>
        </row>
        <row r="99">
          <cell r="A99" t="str">
            <v>GGY</v>
          </cell>
          <cell r="B99">
            <v>1806.6220000000001</v>
          </cell>
        </row>
        <row r="100">
          <cell r="A100" t="str">
            <v>GHA</v>
          </cell>
          <cell r="B100">
            <v>2.4630000000000001</v>
          </cell>
        </row>
        <row r="101">
          <cell r="A101" t="str">
            <v>GIB</v>
          </cell>
          <cell r="B101">
            <v>4384.2479999999996</v>
          </cell>
        </row>
        <row r="102">
          <cell r="A102" t="str">
            <v>GIN</v>
          </cell>
          <cell r="B102">
            <v>3.2000000000000001E-2</v>
          </cell>
        </row>
        <row r="103">
          <cell r="A103" t="str">
            <v>GMB</v>
          </cell>
          <cell r="B103">
            <v>0</v>
          </cell>
        </row>
        <row r="104">
          <cell r="A104" t="str">
            <v>GNB</v>
          </cell>
          <cell r="B104">
            <v>2.1999999999999999E-2</v>
          </cell>
        </row>
        <row r="105">
          <cell r="A105" t="str">
            <v>GNQ</v>
          </cell>
          <cell r="B105">
            <v>5.681</v>
          </cell>
        </row>
        <row r="106">
          <cell r="A106" t="str">
            <v>GRC</v>
          </cell>
          <cell r="B106">
            <v>201.18799999999999</v>
          </cell>
        </row>
        <row r="107">
          <cell r="A107" t="str">
            <v>GRD</v>
          </cell>
          <cell r="B107">
            <v>0</v>
          </cell>
        </row>
        <row r="108">
          <cell r="A108" t="str">
            <v>GRL</v>
          </cell>
          <cell r="B108">
            <v>1.6E-2</v>
          </cell>
        </row>
        <row r="109">
          <cell r="A109" t="str">
            <v>GTM</v>
          </cell>
          <cell r="B109">
            <v>60.213999999999999</v>
          </cell>
        </row>
        <row r="110">
          <cell r="A110" t="str">
            <v>GUM</v>
          </cell>
          <cell r="B110">
            <v>0</v>
          </cell>
        </row>
        <row r="111">
          <cell r="A111" t="str">
            <v>GUY</v>
          </cell>
          <cell r="B111">
            <v>0.308</v>
          </cell>
        </row>
        <row r="112">
          <cell r="A112" t="str">
            <v>HKG</v>
          </cell>
          <cell r="B112">
            <v>8945.7189999999991</v>
          </cell>
        </row>
        <row r="113">
          <cell r="A113" t="str">
            <v>HMD</v>
          </cell>
          <cell r="B113">
            <v>0</v>
          </cell>
        </row>
        <row r="114">
          <cell r="A114" t="str">
            <v>HND</v>
          </cell>
          <cell r="B114">
            <v>2E-3</v>
          </cell>
        </row>
        <row r="115">
          <cell r="A115" t="str">
            <v>HRV</v>
          </cell>
          <cell r="B115">
            <v>104.158</v>
          </cell>
        </row>
        <row r="116">
          <cell r="A116" t="str">
            <v>HTI</v>
          </cell>
          <cell r="B116">
            <v>0</v>
          </cell>
        </row>
        <row r="117">
          <cell r="A117" t="str">
            <v>HUN</v>
          </cell>
          <cell r="B117">
            <v>1940.5989999999999</v>
          </cell>
        </row>
        <row r="118">
          <cell r="A118" t="str">
            <v>IDN</v>
          </cell>
          <cell r="B118">
            <v>207</v>
          </cell>
        </row>
        <row r="119">
          <cell r="A119" t="str">
            <v>IMN</v>
          </cell>
          <cell r="B119">
            <v>432.29700000000003</v>
          </cell>
        </row>
        <row r="120">
          <cell r="A120" t="str">
            <v>IND</v>
          </cell>
          <cell r="B120">
            <v>-307.30200000000002</v>
          </cell>
        </row>
        <row r="121">
          <cell r="A121" t="str">
            <v>IOT</v>
          </cell>
          <cell r="B121">
            <v>0</v>
          </cell>
        </row>
        <row r="122">
          <cell r="A122" t="str">
            <v>IRL</v>
          </cell>
          <cell r="B122">
            <v>26593.914000000001</v>
          </cell>
        </row>
        <row r="123">
          <cell r="A123" t="str">
            <v>IRN</v>
          </cell>
          <cell r="B123">
            <v>-142.227</v>
          </cell>
        </row>
        <row r="124">
          <cell r="A124" t="str">
            <v>IRQ</v>
          </cell>
          <cell r="B124">
            <v>5.0999999999999997E-2</v>
          </cell>
        </row>
        <row r="125">
          <cell r="A125" t="str">
            <v>ISL</v>
          </cell>
          <cell r="B125">
            <v>245.21600000000001</v>
          </cell>
        </row>
        <row r="126">
          <cell r="A126" t="str">
            <v>ISR</v>
          </cell>
          <cell r="B126">
            <v>1451.7049999999999</v>
          </cell>
        </row>
        <row r="127">
          <cell r="A127" t="str">
            <v>ITA</v>
          </cell>
          <cell r="B127">
            <v>15294.395</v>
          </cell>
        </row>
        <row r="128">
          <cell r="A128" t="str">
            <v>JAM</v>
          </cell>
          <cell r="B128">
            <v>-0.26700000000000002</v>
          </cell>
        </row>
        <row r="129">
          <cell r="A129" t="str">
            <v>JEY</v>
          </cell>
          <cell r="B129">
            <v>4618.7060000000001</v>
          </cell>
        </row>
        <row r="130">
          <cell r="A130" t="str">
            <v>JOR</v>
          </cell>
          <cell r="B130">
            <v>2.4460000000000002</v>
          </cell>
        </row>
        <row r="131">
          <cell r="A131" t="str">
            <v>JPN</v>
          </cell>
          <cell r="B131">
            <v>46038.637000000002</v>
          </cell>
        </row>
        <row r="132">
          <cell r="A132" t="str">
            <v>KAZ</v>
          </cell>
          <cell r="B132">
            <v>16.684000000000001</v>
          </cell>
        </row>
        <row r="133">
          <cell r="A133" t="str">
            <v>KEN</v>
          </cell>
          <cell r="B133">
            <v>16.247</v>
          </cell>
        </row>
        <row r="134">
          <cell r="A134" t="str">
            <v>KGZ</v>
          </cell>
          <cell r="B134">
            <v>-0.375</v>
          </cell>
        </row>
        <row r="135">
          <cell r="A135" t="str">
            <v>KHM</v>
          </cell>
          <cell r="B135">
            <v>4.0000000000000001E-3</v>
          </cell>
        </row>
        <row r="136">
          <cell r="A136" t="str">
            <v>KIR</v>
          </cell>
          <cell r="B136">
            <v>0</v>
          </cell>
        </row>
        <row r="137">
          <cell r="A137" t="str">
            <v>KNA</v>
          </cell>
          <cell r="B137">
            <v>-0.128</v>
          </cell>
        </row>
        <row r="138">
          <cell r="A138" t="str">
            <v>KOR</v>
          </cell>
          <cell r="B138">
            <v>3570.0430000000001</v>
          </cell>
        </row>
        <row r="139">
          <cell r="A139" t="str">
            <v>KWT</v>
          </cell>
          <cell r="B139">
            <v>-31.068000000000001</v>
          </cell>
        </row>
        <row r="140">
          <cell r="A140" t="str">
            <v>LAO</v>
          </cell>
          <cell r="B140">
            <v>2E-3</v>
          </cell>
        </row>
        <row r="141">
          <cell r="A141" t="str">
            <v>LBN</v>
          </cell>
          <cell r="B141">
            <v>59.704000000000001</v>
          </cell>
        </row>
        <row r="142">
          <cell r="A142" t="str">
            <v>LBR</v>
          </cell>
          <cell r="B142">
            <v>54.070999999999998</v>
          </cell>
        </row>
        <row r="143">
          <cell r="A143" t="str">
            <v>LBY</v>
          </cell>
          <cell r="B143">
            <v>-27.516999999999999</v>
          </cell>
        </row>
        <row r="144">
          <cell r="A144" t="str">
            <v>LCA</v>
          </cell>
          <cell r="B144">
            <v>2.44</v>
          </cell>
        </row>
        <row r="145">
          <cell r="A145" t="str">
            <v>LIE</v>
          </cell>
          <cell r="B145">
            <v>922.24800000000005</v>
          </cell>
        </row>
        <row r="146">
          <cell r="A146" t="str">
            <v>LKA</v>
          </cell>
          <cell r="B146">
            <v>-1.8180000000000001</v>
          </cell>
        </row>
        <row r="147">
          <cell r="A147" t="str">
            <v>LSO</v>
          </cell>
          <cell r="B147">
            <v>-5</v>
          </cell>
        </row>
        <row r="148">
          <cell r="A148" t="str">
            <v>LTU</v>
          </cell>
          <cell r="B148">
            <v>172.11500000000001</v>
          </cell>
        </row>
        <row r="149">
          <cell r="A149" t="str">
            <v>LUX</v>
          </cell>
          <cell r="B149">
            <v>108518.47500000001</v>
          </cell>
        </row>
        <row r="150">
          <cell r="A150" t="str">
            <v>LVA</v>
          </cell>
          <cell r="B150">
            <v>128.065</v>
          </cell>
        </row>
        <row r="151">
          <cell r="A151" t="str">
            <v>MAC</v>
          </cell>
          <cell r="B151">
            <v>-3.84</v>
          </cell>
        </row>
        <row r="152">
          <cell r="A152" t="str">
            <v>MAR</v>
          </cell>
          <cell r="B152">
            <v>40.767000000000003</v>
          </cell>
        </row>
        <row r="153">
          <cell r="A153" t="str">
            <v>MDA</v>
          </cell>
          <cell r="B153">
            <v>0.52</v>
          </cell>
        </row>
        <row r="154">
          <cell r="A154" t="str">
            <v>MDG</v>
          </cell>
          <cell r="B154">
            <v>4.0000000000000001E-3</v>
          </cell>
        </row>
        <row r="155">
          <cell r="A155" t="str">
            <v>MDV</v>
          </cell>
          <cell r="B155">
            <v>0</v>
          </cell>
        </row>
        <row r="156">
          <cell r="A156" t="str">
            <v>MEX</v>
          </cell>
          <cell r="B156">
            <v>2735.4560000000001</v>
          </cell>
        </row>
        <row r="157">
          <cell r="A157" t="str">
            <v>MHL</v>
          </cell>
          <cell r="B157">
            <v>24.463999999999999</v>
          </cell>
        </row>
        <row r="158">
          <cell r="A158" t="str">
            <v>MKD</v>
          </cell>
          <cell r="B158">
            <v>0.60899999999999999</v>
          </cell>
        </row>
        <row r="159">
          <cell r="A159" t="str">
            <v>MLI</v>
          </cell>
          <cell r="B159">
            <v>3.0000000000000001E-3</v>
          </cell>
        </row>
        <row r="160">
          <cell r="A160" t="str">
            <v>MLT</v>
          </cell>
          <cell r="B160">
            <v>567.12900000000002</v>
          </cell>
        </row>
        <row r="161">
          <cell r="A161" t="str">
            <v>MMR</v>
          </cell>
          <cell r="B161">
            <v>0.157</v>
          </cell>
        </row>
        <row r="162">
          <cell r="A162" t="str">
            <v>MNE</v>
          </cell>
          <cell r="B162">
            <v>2.234</v>
          </cell>
        </row>
        <row r="163">
          <cell r="A163" t="str">
            <v>MNG</v>
          </cell>
          <cell r="B163">
            <v>-0.97599999999999998</v>
          </cell>
        </row>
        <row r="164">
          <cell r="A164" t="str">
            <v>MNP</v>
          </cell>
          <cell r="B164">
            <v>0</v>
          </cell>
        </row>
        <row r="165">
          <cell r="A165" t="str">
            <v>MOZ</v>
          </cell>
          <cell r="B165">
            <v>-0.05</v>
          </cell>
        </row>
        <row r="166">
          <cell r="A166" t="str">
            <v>MRT</v>
          </cell>
          <cell r="B166">
            <v>1.6E-2</v>
          </cell>
        </row>
        <row r="167">
          <cell r="A167" t="str">
            <v>MSR</v>
          </cell>
          <cell r="B167">
            <v>0</v>
          </cell>
        </row>
        <row r="168">
          <cell r="A168" t="str">
            <v>MUS</v>
          </cell>
          <cell r="B168">
            <v>219.898</v>
          </cell>
        </row>
        <row r="169">
          <cell r="A169" t="str">
            <v>MWI</v>
          </cell>
          <cell r="B169">
            <v>2E-3</v>
          </cell>
        </row>
        <row r="170">
          <cell r="A170" t="str">
            <v>MYS</v>
          </cell>
          <cell r="B170">
            <v>221.809</v>
          </cell>
        </row>
        <row r="171">
          <cell r="A171" t="str">
            <v>NAM</v>
          </cell>
          <cell r="B171">
            <v>2.6560000000000001</v>
          </cell>
        </row>
        <row r="172">
          <cell r="A172" t="str">
            <v>NCL</v>
          </cell>
          <cell r="B172">
            <v>0</v>
          </cell>
        </row>
        <row r="173">
          <cell r="A173" t="str">
            <v>NER</v>
          </cell>
          <cell r="B173">
            <v>-0.2</v>
          </cell>
        </row>
        <row r="174">
          <cell r="A174" t="str">
            <v>NFK</v>
          </cell>
          <cell r="B174">
            <v>0</v>
          </cell>
        </row>
        <row r="175">
          <cell r="A175" t="str">
            <v>NGA</v>
          </cell>
          <cell r="B175">
            <v>2.72</v>
          </cell>
        </row>
        <row r="176">
          <cell r="A176" t="str">
            <v>NIC</v>
          </cell>
          <cell r="B176">
            <v>2.153</v>
          </cell>
        </row>
        <row r="177">
          <cell r="A177" t="str">
            <v>NIU</v>
          </cell>
          <cell r="B177">
            <v>-1.119</v>
          </cell>
        </row>
        <row r="178">
          <cell r="A178" t="str">
            <v>NLD</v>
          </cell>
          <cell r="B178">
            <v>169462.76199999999</v>
          </cell>
        </row>
        <row r="179">
          <cell r="A179" t="str">
            <v>NOR</v>
          </cell>
          <cell r="B179">
            <v>4519.8059999999996</v>
          </cell>
        </row>
        <row r="180">
          <cell r="A180" t="str">
            <v>NPL</v>
          </cell>
          <cell r="B180">
            <v>4.0000000000000001E-3</v>
          </cell>
        </row>
        <row r="181">
          <cell r="A181" t="str">
            <v>NRU</v>
          </cell>
          <cell r="B181">
            <v>0</v>
          </cell>
        </row>
        <row r="182">
          <cell r="A182" t="str">
            <v>NZL</v>
          </cell>
          <cell r="B182">
            <v>457.46300000000002</v>
          </cell>
        </row>
        <row r="183">
          <cell r="A183" t="str">
            <v>O1</v>
          </cell>
          <cell r="B183">
            <v>4601.6019999999999</v>
          </cell>
        </row>
        <row r="184">
          <cell r="A184" t="str">
            <v>O19</v>
          </cell>
          <cell r="B184">
            <v>0</v>
          </cell>
        </row>
        <row r="185">
          <cell r="A185" t="str">
            <v>OMN</v>
          </cell>
          <cell r="B185">
            <v>101.938</v>
          </cell>
        </row>
        <row r="186">
          <cell r="A186" t="str">
            <v>P0</v>
          </cell>
          <cell r="B186">
            <v>690340.81099999999</v>
          </cell>
        </row>
        <row r="187">
          <cell r="A187" t="str">
            <v>P00</v>
          </cell>
          <cell r="B187">
            <v>80369.899999999994</v>
          </cell>
        </row>
        <row r="188">
          <cell r="A188" t="str">
            <v>P1</v>
          </cell>
          <cell r="B188">
            <v>89915.343999999997</v>
          </cell>
        </row>
        <row r="189">
          <cell r="A189" t="str">
            <v>P4</v>
          </cell>
          <cell r="B189">
            <v>122138.761</v>
          </cell>
        </row>
        <row r="190">
          <cell r="A190" t="str">
            <v>PAK</v>
          </cell>
          <cell r="B190">
            <v>-12.583</v>
          </cell>
        </row>
        <row r="191">
          <cell r="A191" t="str">
            <v>PAN</v>
          </cell>
          <cell r="B191">
            <v>256.65699999999998</v>
          </cell>
        </row>
        <row r="192">
          <cell r="A192" t="str">
            <v>PCN</v>
          </cell>
          <cell r="B192">
            <v>19</v>
          </cell>
        </row>
        <row r="193">
          <cell r="A193" t="str">
            <v>PER</v>
          </cell>
          <cell r="B193">
            <v>41.957999999999998</v>
          </cell>
        </row>
        <row r="194">
          <cell r="A194" t="str">
            <v>PHL</v>
          </cell>
          <cell r="B194">
            <v>-19.204000000000001</v>
          </cell>
        </row>
        <row r="195">
          <cell r="A195" t="str">
            <v>PLW</v>
          </cell>
          <cell r="B195">
            <v>0</v>
          </cell>
        </row>
        <row r="196">
          <cell r="A196" t="str">
            <v>PNG</v>
          </cell>
          <cell r="B196">
            <v>0</v>
          </cell>
        </row>
        <row r="197">
          <cell r="A197" t="str">
            <v>POL</v>
          </cell>
          <cell r="B197">
            <v>816.06500000000005</v>
          </cell>
        </row>
        <row r="198">
          <cell r="A198" t="str">
            <v>PRK</v>
          </cell>
          <cell r="B198">
            <v>0</v>
          </cell>
        </row>
        <row r="199">
          <cell r="A199" t="str">
            <v>PRT</v>
          </cell>
          <cell r="B199">
            <v>685.22400000000005</v>
          </cell>
        </row>
        <row r="200">
          <cell r="A200" t="str">
            <v>PRY</v>
          </cell>
          <cell r="B200">
            <v>-0.29099999999999998</v>
          </cell>
        </row>
        <row r="201">
          <cell r="A201" t="str">
            <v>PSE</v>
          </cell>
          <cell r="B201">
            <v>3.7999999999999999E-2</v>
          </cell>
        </row>
        <row r="202">
          <cell r="A202" t="str">
            <v>PYF</v>
          </cell>
          <cell r="B202">
            <v>0</v>
          </cell>
        </row>
        <row r="203">
          <cell r="A203" t="str">
            <v>QAT</v>
          </cell>
          <cell r="B203">
            <v>734.76700000000005</v>
          </cell>
        </row>
        <row r="204">
          <cell r="A204" t="str">
            <v>R1</v>
          </cell>
          <cell r="B204">
            <v>765.803</v>
          </cell>
        </row>
        <row r="205">
          <cell r="A205" t="str">
            <v>R220</v>
          </cell>
          <cell r="B205">
            <v>312730.55300000001</v>
          </cell>
        </row>
        <row r="206">
          <cell r="A206" t="str">
            <v>R221</v>
          </cell>
          <cell r="B206">
            <v>291026.06599999999</v>
          </cell>
        </row>
        <row r="207">
          <cell r="A207" t="str">
            <v>R222</v>
          </cell>
          <cell r="B207">
            <v>5109.8630000000003</v>
          </cell>
        </row>
        <row r="208">
          <cell r="A208" t="str">
            <v>R25</v>
          </cell>
          <cell r="B208">
            <v>2590.52</v>
          </cell>
        </row>
        <row r="209">
          <cell r="A209" t="str">
            <v>R251</v>
          </cell>
          <cell r="B209">
            <v>197.85599999999999</v>
          </cell>
        </row>
        <row r="210">
          <cell r="A210" t="str">
            <v>R252</v>
          </cell>
          <cell r="B210">
            <v>1470.4570000000001</v>
          </cell>
        </row>
        <row r="211">
          <cell r="A211" t="str">
            <v>R253</v>
          </cell>
          <cell r="B211">
            <v>-841.68299999999999</v>
          </cell>
        </row>
        <row r="212">
          <cell r="A212" t="str">
            <v>R254</v>
          </cell>
          <cell r="B212">
            <v>1968.3320000000001</v>
          </cell>
        </row>
        <row r="213">
          <cell r="A213" t="str">
            <v>R255</v>
          </cell>
          <cell r="B213">
            <v>29.437000000000001</v>
          </cell>
        </row>
        <row r="214">
          <cell r="A214" t="str">
            <v>R4</v>
          </cell>
          <cell r="B214">
            <v>10715.302</v>
          </cell>
        </row>
        <row r="215">
          <cell r="A215" t="str">
            <v>ROM</v>
          </cell>
          <cell r="B215">
            <v>30.780999999999999</v>
          </cell>
        </row>
        <row r="216">
          <cell r="A216" t="str">
            <v>RUS</v>
          </cell>
          <cell r="B216">
            <v>1288.309</v>
          </cell>
        </row>
        <row r="217">
          <cell r="A217" t="str">
            <v>RWA</v>
          </cell>
          <cell r="B217">
            <v>-1.0999999999999999E-2</v>
          </cell>
        </row>
        <row r="218">
          <cell r="A218" t="str">
            <v>S1</v>
          </cell>
          <cell r="B218">
            <v>43294.951999999997</v>
          </cell>
        </row>
        <row r="219">
          <cell r="A219" t="str">
            <v>S19</v>
          </cell>
          <cell r="B219">
            <v>2.2389999999999999</v>
          </cell>
        </row>
        <row r="220">
          <cell r="A220" t="str">
            <v>S3</v>
          </cell>
          <cell r="B220">
            <v>8863.3330000000005</v>
          </cell>
        </row>
        <row r="221">
          <cell r="A221" t="str">
            <v>S35</v>
          </cell>
          <cell r="B221">
            <v>6178.2460000000001</v>
          </cell>
        </row>
        <row r="222">
          <cell r="A222" t="str">
            <v>S37</v>
          </cell>
          <cell r="B222">
            <v>1613.7929999999999</v>
          </cell>
        </row>
        <row r="223">
          <cell r="A223" t="str">
            <v>S6</v>
          </cell>
          <cell r="B223">
            <v>34961.050000000003</v>
          </cell>
        </row>
        <row r="224">
          <cell r="A224" t="str">
            <v>SAU</v>
          </cell>
          <cell r="B224">
            <v>1046.0170000000001</v>
          </cell>
        </row>
        <row r="225">
          <cell r="A225" t="str">
            <v>SCG</v>
          </cell>
          <cell r="B225">
            <v>1E-3</v>
          </cell>
        </row>
        <row r="226">
          <cell r="A226" t="str">
            <v>SDN</v>
          </cell>
          <cell r="B226">
            <v>0</v>
          </cell>
        </row>
        <row r="227">
          <cell r="A227" t="str">
            <v>SEN</v>
          </cell>
          <cell r="B227">
            <v>0.187</v>
          </cell>
        </row>
        <row r="228">
          <cell r="A228" t="str">
            <v>SGP</v>
          </cell>
          <cell r="B228">
            <v>10578.924000000001</v>
          </cell>
        </row>
        <row r="229">
          <cell r="A229" t="str">
            <v>SGS</v>
          </cell>
          <cell r="B229">
            <v>0</v>
          </cell>
        </row>
        <row r="230">
          <cell r="A230" t="str">
            <v>SHN</v>
          </cell>
          <cell r="B230">
            <v>0</v>
          </cell>
        </row>
        <row r="231">
          <cell r="A231" t="str">
            <v>SLB</v>
          </cell>
          <cell r="B231">
            <v>0</v>
          </cell>
        </row>
        <row r="232">
          <cell r="A232" t="str">
            <v>SLE</v>
          </cell>
          <cell r="B232">
            <v>0.157</v>
          </cell>
        </row>
        <row r="233">
          <cell r="A233" t="str">
            <v>SLV</v>
          </cell>
          <cell r="B233">
            <v>16.773</v>
          </cell>
        </row>
        <row r="234">
          <cell r="A234" t="str">
            <v>SMR</v>
          </cell>
          <cell r="B234">
            <v>-34.755000000000003</v>
          </cell>
        </row>
        <row r="235">
          <cell r="A235" t="str">
            <v>SOM</v>
          </cell>
          <cell r="B235">
            <v>0</v>
          </cell>
        </row>
        <row r="236">
          <cell r="A236" t="str">
            <v>SRB</v>
          </cell>
          <cell r="B236">
            <v>79.588999999999999</v>
          </cell>
        </row>
        <row r="237">
          <cell r="A237" t="str">
            <v>SSD</v>
          </cell>
          <cell r="B237">
            <v>0</v>
          </cell>
        </row>
        <row r="238">
          <cell r="A238" t="str">
            <v>STP</v>
          </cell>
          <cell r="B238">
            <v>0</v>
          </cell>
        </row>
        <row r="239">
          <cell r="A239" t="str">
            <v>SUR</v>
          </cell>
          <cell r="B239">
            <v>2.2389999999999999</v>
          </cell>
        </row>
        <row r="240">
          <cell r="A240" t="str">
            <v>SVK</v>
          </cell>
          <cell r="B240">
            <v>342.39</v>
          </cell>
        </row>
        <row r="241">
          <cell r="A241" t="str">
            <v>SVN</v>
          </cell>
          <cell r="B241">
            <v>66.489999999999995</v>
          </cell>
        </row>
        <row r="242">
          <cell r="A242" t="str">
            <v>SWE</v>
          </cell>
          <cell r="B242">
            <v>20786.671999999999</v>
          </cell>
        </row>
        <row r="243">
          <cell r="A243" t="str">
            <v>SWZ</v>
          </cell>
          <cell r="B243">
            <v>1.8859999999999999</v>
          </cell>
        </row>
        <row r="244">
          <cell r="A244" t="str">
            <v>SXM</v>
          </cell>
          <cell r="B244">
            <v>0</v>
          </cell>
        </row>
        <row r="245">
          <cell r="A245" t="str">
            <v>SYC</v>
          </cell>
          <cell r="B245">
            <v>14.298999999999999</v>
          </cell>
        </row>
        <row r="246">
          <cell r="A246" t="str">
            <v>SYR</v>
          </cell>
          <cell r="B246">
            <v>0.02</v>
          </cell>
        </row>
        <row r="247">
          <cell r="A247" t="str">
            <v>TCA</v>
          </cell>
          <cell r="B247">
            <v>2.8069999999999999</v>
          </cell>
        </row>
        <row r="248">
          <cell r="A248" t="str">
            <v>TCD</v>
          </cell>
          <cell r="B248">
            <v>0</v>
          </cell>
        </row>
        <row r="249">
          <cell r="A249" t="str">
            <v>TGO</v>
          </cell>
          <cell r="B249">
            <v>1.708</v>
          </cell>
        </row>
        <row r="250">
          <cell r="A250" t="str">
            <v>THA</v>
          </cell>
          <cell r="B250">
            <v>120.27</v>
          </cell>
        </row>
        <row r="251">
          <cell r="A251" t="str">
            <v>TJK</v>
          </cell>
          <cell r="B251">
            <v>0</v>
          </cell>
        </row>
        <row r="252">
          <cell r="A252" t="str">
            <v>TKL</v>
          </cell>
          <cell r="B252">
            <v>0</v>
          </cell>
        </row>
        <row r="253">
          <cell r="A253" t="str">
            <v>TKM</v>
          </cell>
          <cell r="B253">
            <v>1E-3</v>
          </cell>
        </row>
        <row r="254">
          <cell r="A254" t="str">
            <v>TLS</v>
          </cell>
          <cell r="B254">
            <v>0</v>
          </cell>
        </row>
        <row r="255">
          <cell r="A255" t="str">
            <v>TON</v>
          </cell>
          <cell r="B255">
            <v>0</v>
          </cell>
        </row>
        <row r="256">
          <cell r="A256" t="str">
            <v>TTO</v>
          </cell>
          <cell r="B256">
            <v>-7.17</v>
          </cell>
        </row>
        <row r="257">
          <cell r="A257" t="str">
            <v>TUN</v>
          </cell>
          <cell r="B257">
            <v>-9.4809999999999999</v>
          </cell>
        </row>
        <row r="258">
          <cell r="A258" t="str">
            <v>TUR</v>
          </cell>
          <cell r="B258">
            <v>172.57</v>
          </cell>
        </row>
        <row r="259">
          <cell r="A259" t="str">
            <v>TUV</v>
          </cell>
          <cell r="B259">
            <v>0</v>
          </cell>
        </row>
        <row r="260">
          <cell r="A260" t="str">
            <v>TWN</v>
          </cell>
          <cell r="B260">
            <v>792.19</v>
          </cell>
        </row>
        <row r="261">
          <cell r="A261" t="str">
            <v>TZA</v>
          </cell>
          <cell r="B261">
            <v>1.722</v>
          </cell>
        </row>
        <row r="262">
          <cell r="A262" t="str">
            <v>UGA</v>
          </cell>
          <cell r="B262">
            <v>7.8460000000000001</v>
          </cell>
        </row>
        <row r="263">
          <cell r="A263" t="str">
            <v>UKR</v>
          </cell>
          <cell r="B263">
            <v>-99.207999999999998</v>
          </cell>
        </row>
        <row r="264">
          <cell r="A264" t="str">
            <v>UMI</v>
          </cell>
          <cell r="B264">
            <v>0</v>
          </cell>
        </row>
        <row r="265">
          <cell r="A265" t="str">
            <v>URY</v>
          </cell>
          <cell r="B265">
            <v>905.67899999999997</v>
          </cell>
        </row>
        <row r="266">
          <cell r="A266" t="str">
            <v>USA</v>
          </cell>
          <cell r="B266">
            <v>140250.91899999999</v>
          </cell>
        </row>
        <row r="267">
          <cell r="A267" t="str">
            <v>UZB</v>
          </cell>
          <cell r="B267">
            <v>17.558</v>
          </cell>
        </row>
        <row r="268">
          <cell r="A268" t="str">
            <v>VAT</v>
          </cell>
          <cell r="B268">
            <v>1E-3</v>
          </cell>
        </row>
        <row r="269">
          <cell r="A269" t="str">
            <v>VCT</v>
          </cell>
          <cell r="B269">
            <v>3.1880000000000002</v>
          </cell>
        </row>
        <row r="270">
          <cell r="A270" t="str">
            <v>VEN</v>
          </cell>
          <cell r="B270">
            <v>-0.52</v>
          </cell>
        </row>
        <row r="271">
          <cell r="A271" t="str">
            <v>VGB</v>
          </cell>
          <cell r="B271">
            <v>1878.106</v>
          </cell>
        </row>
        <row r="272">
          <cell r="A272" t="str">
            <v>VIR</v>
          </cell>
          <cell r="B272">
            <v>0</v>
          </cell>
        </row>
        <row r="273">
          <cell r="A273" t="str">
            <v>VNM</v>
          </cell>
          <cell r="B273">
            <v>-45.075000000000003</v>
          </cell>
        </row>
        <row r="274">
          <cell r="A274" t="str">
            <v>VUT</v>
          </cell>
          <cell r="B274">
            <v>0</v>
          </cell>
        </row>
        <row r="275">
          <cell r="A275" t="str">
            <v>W0</v>
          </cell>
          <cell r="B275">
            <v>1114456.5530000001</v>
          </cell>
        </row>
        <row r="276">
          <cell r="A276" t="str">
            <v>W190</v>
          </cell>
          <cell r="B276">
            <v>964.61599999999999</v>
          </cell>
        </row>
        <row r="277">
          <cell r="A277" t="str">
            <v>WLF</v>
          </cell>
          <cell r="B277">
            <v>0</v>
          </cell>
        </row>
        <row r="278">
          <cell r="A278" t="str">
            <v>WSM</v>
          </cell>
          <cell r="B278">
            <v>1.508</v>
          </cell>
        </row>
        <row r="279">
          <cell r="A279" t="str">
            <v>XKO</v>
          </cell>
          <cell r="B279">
            <v>-0.46899999999999997</v>
          </cell>
        </row>
        <row r="280">
          <cell r="A280" t="str">
            <v>YEM</v>
          </cell>
          <cell r="B280">
            <v>0.216</v>
          </cell>
        </row>
        <row r="281">
          <cell r="A281" t="str">
            <v>ZAF</v>
          </cell>
          <cell r="B281">
            <v>637.96699999999998</v>
          </cell>
        </row>
        <row r="282">
          <cell r="A282" t="str">
            <v>ZMB</v>
          </cell>
          <cell r="B282">
            <v>-1.056</v>
          </cell>
        </row>
        <row r="283">
          <cell r="A283" t="str">
            <v>ZWE</v>
          </cell>
          <cell r="B283">
            <v>-1.266</v>
          </cell>
        </row>
        <row r="284">
          <cell r="A284" t="str">
            <v>Total</v>
          </cell>
          <cell r="B284">
            <v>5478100.0420000004</v>
          </cell>
        </row>
      </sheetData>
      <sheetData sheetId="12">
        <row r="1">
          <cell r="A1" t="str">
            <v>cou</v>
          </cell>
          <cell r="B1" t="str">
            <v>Sum</v>
          </cell>
        </row>
        <row r="2">
          <cell r="B2" t="str">
            <v>valueROU E</v>
          </cell>
        </row>
        <row r="3">
          <cell r="A3" t="str">
            <v>AUS</v>
          </cell>
          <cell r="B3">
            <v>39819.281300000002</v>
          </cell>
        </row>
        <row r="4">
          <cell r="A4" t="str">
            <v>AUT</v>
          </cell>
          <cell r="B4">
            <v>15699.09325</v>
          </cell>
        </row>
        <row r="5">
          <cell r="A5" t="str">
            <v>BEL</v>
          </cell>
          <cell r="B5">
            <v>39419.008170000001</v>
          </cell>
        </row>
        <row r="6">
          <cell r="A6" t="str">
            <v>BRA</v>
          </cell>
          <cell r="B6">
            <v>43868</v>
          </cell>
        </row>
        <row r="7">
          <cell r="A7" t="str">
            <v>CAN</v>
          </cell>
          <cell r="B7">
            <v>38682.275670000003</v>
          </cell>
        </row>
        <row r="8">
          <cell r="A8" t="str">
            <v>CHE</v>
          </cell>
          <cell r="B8">
            <v>101847.35038</v>
          </cell>
        </row>
        <row r="9">
          <cell r="A9" t="str">
            <v>CHL</v>
          </cell>
          <cell r="B9">
            <v>13799.804550000001</v>
          </cell>
        </row>
        <row r="10">
          <cell r="A10" t="str">
            <v>CZE</v>
          </cell>
          <cell r="B10">
            <v>19567.930670000002</v>
          </cell>
        </row>
        <row r="11">
          <cell r="A11" t="str">
            <v>DEU</v>
          </cell>
          <cell r="B11">
            <v>31101.99597</v>
          </cell>
        </row>
        <row r="12">
          <cell r="A12" t="str">
            <v>DNK</v>
          </cell>
          <cell r="B12">
            <v>7241.7981200000004</v>
          </cell>
        </row>
        <row r="13">
          <cell r="A13" t="str">
            <v>ESP</v>
          </cell>
          <cell r="B13">
            <v>28505.541249999998</v>
          </cell>
        </row>
        <row r="14">
          <cell r="A14" t="str">
            <v>EST</v>
          </cell>
          <cell r="B14">
            <v>1925.69238</v>
          </cell>
        </row>
        <row r="15">
          <cell r="A15" t="str">
            <v>FIN</v>
          </cell>
          <cell r="B15">
            <v>8019.7022299999999</v>
          </cell>
        </row>
        <row r="16">
          <cell r="A16" t="str">
            <v>FRA</v>
          </cell>
          <cell r="B16">
            <v>29632.178790000002</v>
          </cell>
        </row>
        <row r="17">
          <cell r="A17" t="str">
            <v>GBR</v>
          </cell>
          <cell r="B17">
            <v>51625.680820000001</v>
          </cell>
        </row>
        <row r="18">
          <cell r="A18" t="str">
            <v>GRC</v>
          </cell>
          <cell r="B18">
            <v>1816.08069</v>
          </cell>
        </row>
        <row r="19">
          <cell r="A19" t="str">
            <v>HUN</v>
          </cell>
          <cell r="B19">
            <v>9225.7094199999992</v>
          </cell>
        </row>
        <row r="20">
          <cell r="A20" t="str">
            <v>IRL</v>
          </cell>
          <cell r="B20">
            <v>90327.997310000006</v>
          </cell>
        </row>
        <row r="21">
          <cell r="A21" t="str">
            <v>ISL</v>
          </cell>
          <cell r="B21">
            <v>-456.31601999999998</v>
          </cell>
        </row>
        <row r="22">
          <cell r="A22" t="str">
            <v>ITA</v>
          </cell>
          <cell r="B22">
            <v>16905.61737</v>
          </cell>
        </row>
        <row r="23">
          <cell r="A23" t="str">
            <v>JPN</v>
          </cell>
          <cell r="B23">
            <v>30928.515380000001</v>
          </cell>
        </row>
        <row r="24">
          <cell r="A24" t="str">
            <v>KOR</v>
          </cell>
          <cell r="B24">
            <v>3412.91</v>
          </cell>
        </row>
        <row r="25">
          <cell r="A25" t="str">
            <v>LTU</v>
          </cell>
          <cell r="B25">
            <v>2246.6808500000002</v>
          </cell>
        </row>
        <row r="26">
          <cell r="A26" t="str">
            <v>LUX</v>
          </cell>
          <cell r="B26">
            <v>11513.489310000001</v>
          </cell>
        </row>
        <row r="27">
          <cell r="A27" t="str">
            <v>LVA</v>
          </cell>
          <cell r="B27">
            <v>1589.6115500000001</v>
          </cell>
        </row>
        <row r="28">
          <cell r="A28" t="str">
            <v>MEX</v>
          </cell>
          <cell r="B28">
            <v>25090.9761</v>
          </cell>
        </row>
        <row r="29">
          <cell r="A29" t="str">
            <v>NLD</v>
          </cell>
          <cell r="B29">
            <v>77830.472020000001</v>
          </cell>
        </row>
        <row r="30">
          <cell r="A30" t="str">
            <v>NOR</v>
          </cell>
          <cell r="B30">
            <v>11975.314249999999</v>
          </cell>
        </row>
        <row r="31">
          <cell r="A31" t="str">
            <v>NZL</v>
          </cell>
          <cell r="B31">
            <v>5374.1765500000001</v>
          </cell>
        </row>
        <row r="32">
          <cell r="A32" t="str">
            <v>OECD</v>
          </cell>
          <cell r="B32">
            <v>0</v>
          </cell>
        </row>
        <row r="33">
          <cell r="A33" t="str">
            <v>POL</v>
          </cell>
          <cell r="B33">
            <v>21165.86418</v>
          </cell>
        </row>
        <row r="34">
          <cell r="A34" t="str">
            <v>PRT</v>
          </cell>
          <cell r="B34">
            <v>6323.7434199999998</v>
          </cell>
        </row>
        <row r="35">
          <cell r="A35" t="str">
            <v>SVK</v>
          </cell>
          <cell r="B35">
            <v>4850.4095100000004</v>
          </cell>
        </row>
        <row r="36">
          <cell r="A36" t="str">
            <v>SVN</v>
          </cell>
          <cell r="B36">
            <v>1566.0494799999999</v>
          </cell>
        </row>
        <row r="37">
          <cell r="A37" t="str">
            <v>SWE</v>
          </cell>
          <cell r="B37">
            <v>21970.833019999998</v>
          </cell>
        </row>
        <row r="38">
          <cell r="A38" t="str">
            <v>TUR</v>
          </cell>
          <cell r="B38">
            <v>2819.58</v>
          </cell>
        </row>
        <row r="39">
          <cell r="A39" t="str">
            <v>USA</v>
          </cell>
          <cell r="B39">
            <v>175056</v>
          </cell>
        </row>
        <row r="40">
          <cell r="A40" t="str">
            <v>Total</v>
          </cell>
          <cell r="B40">
            <v>992289.04793999996</v>
          </cell>
        </row>
      </sheetData>
      <sheetData sheetId="13">
        <row r="2">
          <cell r="A2" t="str">
            <v>Country Name</v>
          </cell>
          <cell r="B2" t="str">
            <v>tax prof</v>
          </cell>
          <cell r="C2" t="str">
            <v>corptaxrev</v>
          </cell>
          <cell r="D2" t="str">
            <v>corp va</v>
          </cell>
          <cell r="E2" t="str">
            <v>corp OS</v>
          </cell>
          <cell r="F2" t="str">
            <v>net int</v>
          </cell>
          <cell r="G2" t="str">
            <v>depreciation</v>
          </cell>
          <cell r="H2" t="str">
            <v>corp wage</v>
          </cell>
          <cell r="I2" t="str">
            <v>EBTDA</v>
          </cell>
          <cell r="J2" t="str">
            <v>EBTDA p</v>
          </cell>
          <cell r="K2" t="str">
            <v>taxprof pr</v>
          </cell>
          <cell r="L2" t="str">
            <v>NFB1GP S1</v>
          </cell>
          <cell r="M2" t="str">
            <v>NFK1MP S1</v>
          </cell>
        </row>
        <row r="3">
          <cell r="A3" t="str">
            <v>Australia</v>
          </cell>
          <cell r="B3">
            <v>259538.79688000001</v>
          </cell>
          <cell r="C3">
            <v>65473.438779999997</v>
          </cell>
          <cell r="D3">
            <v>812075</v>
          </cell>
          <cell r="E3">
            <v>365822.34375</v>
          </cell>
          <cell r="F3">
            <v>-32241.761719999999</v>
          </cell>
          <cell r="G3">
            <v>138525.3125</v>
          </cell>
          <cell r="H3">
            <v>586965.75</v>
          </cell>
          <cell r="I3">
            <v>398064.09375</v>
          </cell>
          <cell r="J3">
            <v>0.67817000000000005</v>
          </cell>
          <cell r="K3">
            <v>0.44217000000000001</v>
          </cell>
          <cell r="L3">
            <v>1377029.1003099999</v>
          </cell>
          <cell r="M3">
            <v>243180.60321999999</v>
          </cell>
        </row>
        <row r="4">
          <cell r="A4" t="str">
            <v>Austria</v>
          </cell>
          <cell r="B4">
            <v>54133.328130000002</v>
          </cell>
          <cell r="C4">
            <v>12085.15173</v>
          </cell>
          <cell r="D4">
            <v>262136.23438000001</v>
          </cell>
          <cell r="E4">
            <v>106074.60937999999</v>
          </cell>
          <cell r="F4">
            <v>-2367.1296400000001</v>
          </cell>
          <cell r="G4">
            <v>54308.410159999999</v>
          </cell>
          <cell r="H4">
            <v>149774.3125</v>
          </cell>
          <cell r="I4">
            <v>108441.74219</v>
          </cell>
          <cell r="J4">
            <v>0.72402999999999995</v>
          </cell>
          <cell r="K4">
            <v>0.36142999999999997</v>
          </cell>
          <cell r="L4">
            <v>445011.95598999999</v>
          </cell>
          <cell r="M4">
            <v>81392.425189999994</v>
          </cell>
        </row>
        <row r="5">
          <cell r="A5" t="str">
            <v>Belgium</v>
          </cell>
          <cell r="B5">
            <v>82180.304690000004</v>
          </cell>
          <cell r="C5">
            <v>19854.781719999999</v>
          </cell>
          <cell r="D5">
            <v>323204.8125</v>
          </cell>
          <cell r="E5">
            <v>139923.82813000001</v>
          </cell>
          <cell r="F5">
            <v>-7947.1518599999999</v>
          </cell>
          <cell r="G5">
            <v>65690.671879999994</v>
          </cell>
          <cell r="H5">
            <v>190551.40625</v>
          </cell>
          <cell r="I5">
            <v>147870.98438000001</v>
          </cell>
          <cell r="J5">
            <v>0.77602000000000004</v>
          </cell>
          <cell r="K5">
            <v>0.43128</v>
          </cell>
          <cell r="L5">
            <v>535288.86928999994</v>
          </cell>
          <cell r="M5">
            <v>100178.10845</v>
          </cell>
        </row>
        <row r="6">
          <cell r="A6" t="str">
            <v>Brazil</v>
          </cell>
          <cell r="B6">
            <v>351069.4375</v>
          </cell>
          <cell r="C6">
            <v>0</v>
          </cell>
          <cell r="D6">
            <v>978097.4375</v>
          </cell>
          <cell r="E6">
            <v>442690.78125</v>
          </cell>
          <cell r="F6">
            <v>-37341.382810000003</v>
          </cell>
          <cell r="G6">
            <v>128962.71094</v>
          </cell>
          <cell r="H6">
            <v>511966.25</v>
          </cell>
          <cell r="I6">
            <v>480032.15625</v>
          </cell>
          <cell r="J6">
            <v>0.93762000000000001</v>
          </cell>
          <cell r="K6">
            <v>0.68572999999999995</v>
          </cell>
          <cell r="L6">
            <v>1873288.2051899999</v>
          </cell>
          <cell r="M6">
            <v>0</v>
          </cell>
        </row>
        <row r="7">
          <cell r="A7" t="str">
            <v>Canada</v>
          </cell>
          <cell r="B7">
            <v>184636.1875</v>
          </cell>
          <cell r="C7">
            <v>72475.261780000001</v>
          </cell>
          <cell r="D7">
            <v>1014732.625</v>
          </cell>
          <cell r="E7">
            <v>398680.125</v>
          </cell>
          <cell r="F7">
            <v>34259.300779999998</v>
          </cell>
          <cell r="G7">
            <v>179784.64063000001</v>
          </cell>
          <cell r="H7">
            <v>644503.3125</v>
          </cell>
          <cell r="I7">
            <v>364420.8125</v>
          </cell>
          <cell r="J7">
            <v>0.56542999999999999</v>
          </cell>
          <cell r="K7">
            <v>0.28648000000000001</v>
          </cell>
          <cell r="L7">
            <v>1742015.5216399999</v>
          </cell>
          <cell r="M7">
            <v>288903.39337000001</v>
          </cell>
        </row>
        <row r="8">
          <cell r="A8" t="str">
            <v>Chile</v>
          </cell>
          <cell r="B8">
            <v>67274.117190000004</v>
          </cell>
          <cell r="C8">
            <v>13654.15711</v>
          </cell>
          <cell r="D8">
            <v>174207.42188000001</v>
          </cell>
          <cell r="E8">
            <v>92309.929690000004</v>
          </cell>
          <cell r="F8">
            <v>-4123.3598599999996</v>
          </cell>
          <cell r="G8">
            <v>29159.171880000002</v>
          </cell>
          <cell r="H8">
            <v>79311.148440000004</v>
          </cell>
          <cell r="I8">
            <v>96433.289059999996</v>
          </cell>
          <cell r="J8">
            <v>1.2158899999999999</v>
          </cell>
          <cell r="K8">
            <v>0.84823000000000004</v>
          </cell>
          <cell r="L8">
            <v>250737.36027</v>
          </cell>
          <cell r="M8">
            <v>0</v>
          </cell>
        </row>
        <row r="9">
          <cell r="A9" t="str">
            <v>China</v>
          </cell>
          <cell r="B9">
            <v>2923331.5</v>
          </cell>
          <cell r="C9">
            <v>0</v>
          </cell>
          <cell r="D9">
            <v>9964928</v>
          </cell>
          <cell r="E9">
            <v>4412107</v>
          </cell>
          <cell r="F9">
            <v>206032.35938000001</v>
          </cell>
          <cell r="G9">
            <v>1282743.125</v>
          </cell>
          <cell r="H9">
            <v>4161193.25</v>
          </cell>
          <cell r="I9">
            <v>4206074.5</v>
          </cell>
          <cell r="J9">
            <v>1.0107900000000001</v>
          </cell>
          <cell r="K9">
            <v>0.70252000000000003</v>
          </cell>
          <cell r="L9">
            <v>14279968.506239999</v>
          </cell>
          <cell r="M9">
            <v>0</v>
          </cell>
        </row>
        <row r="10">
          <cell r="A10" t="str">
            <v>Colombia</v>
          </cell>
          <cell r="B10">
            <v>61907.554689999997</v>
          </cell>
          <cell r="C10">
            <v>0</v>
          </cell>
          <cell r="D10">
            <v>164835.64063000001</v>
          </cell>
          <cell r="E10">
            <v>91146.40625</v>
          </cell>
          <cell r="F10">
            <v>1389.89148</v>
          </cell>
          <cell r="G10">
            <v>27848.960940000001</v>
          </cell>
          <cell r="H10">
            <v>68378.398440000004</v>
          </cell>
          <cell r="I10">
            <v>89756.515629999994</v>
          </cell>
          <cell r="J10">
            <v>1.31264</v>
          </cell>
          <cell r="K10">
            <v>0.90537000000000001</v>
          </cell>
          <cell r="L10">
            <v>323109.54027</v>
          </cell>
          <cell r="M10">
            <v>0</v>
          </cell>
        </row>
        <row r="11">
          <cell r="A11" t="str">
            <v>Costa Rica</v>
          </cell>
          <cell r="B11">
            <v>14493.277340000001</v>
          </cell>
          <cell r="C11">
            <v>0</v>
          </cell>
          <cell r="D11">
            <v>34663.332029999998</v>
          </cell>
          <cell r="E11">
            <v>16328.00879</v>
          </cell>
          <cell r="F11">
            <v>-1026.1279300000001</v>
          </cell>
          <cell r="G11">
            <v>2860.85889</v>
          </cell>
          <cell r="H11">
            <v>16952.833979999999</v>
          </cell>
          <cell r="I11">
            <v>17354.136719999999</v>
          </cell>
          <cell r="J11">
            <v>1.0236700000000001</v>
          </cell>
          <cell r="K11">
            <v>0.85492000000000001</v>
          </cell>
          <cell r="L11">
            <v>60130.106119999997</v>
          </cell>
          <cell r="M11">
            <v>3201.58221</v>
          </cell>
        </row>
        <row r="12">
          <cell r="A12" t="str">
            <v>Czech Republic</v>
          </cell>
          <cell r="B12">
            <v>35933.675779999998</v>
          </cell>
          <cell r="C12">
            <v>8857.2358100000001</v>
          </cell>
          <cell r="D12">
            <v>151112.03125</v>
          </cell>
          <cell r="E12">
            <v>69417.4375</v>
          </cell>
          <cell r="F12">
            <v>-382.95413000000002</v>
          </cell>
          <cell r="G12">
            <v>33866.714840000001</v>
          </cell>
          <cell r="H12">
            <v>82473.5</v>
          </cell>
          <cell r="I12">
            <v>69800.390629999994</v>
          </cell>
          <cell r="J12">
            <v>0.84633999999999998</v>
          </cell>
          <cell r="K12">
            <v>0.43569999999999998</v>
          </cell>
          <cell r="L12">
            <v>252548.17996000001</v>
          </cell>
          <cell r="M12">
            <v>50298.073669999998</v>
          </cell>
        </row>
        <row r="13">
          <cell r="A13" t="str">
            <v>Denmark</v>
          </cell>
          <cell r="B13">
            <v>51200.800779999998</v>
          </cell>
          <cell r="C13">
            <v>10904.097449999999</v>
          </cell>
          <cell r="D13">
            <v>203605.78125</v>
          </cell>
          <cell r="E13">
            <v>84114.773440000004</v>
          </cell>
          <cell r="F13">
            <v>-5694.4750999999997</v>
          </cell>
          <cell r="G13">
            <v>38608.449220000002</v>
          </cell>
          <cell r="H13">
            <v>117390.09375</v>
          </cell>
          <cell r="I13">
            <v>89809.25</v>
          </cell>
          <cell r="J13">
            <v>0.76505000000000001</v>
          </cell>
          <cell r="K13">
            <v>0.43615999999999999</v>
          </cell>
          <cell r="L13">
            <v>346498.7427</v>
          </cell>
          <cell r="M13">
            <v>58938.019899999999</v>
          </cell>
        </row>
        <row r="14">
          <cell r="A14" t="str">
            <v>Estonia</v>
          </cell>
          <cell r="B14">
            <v>5774.9228499999999</v>
          </cell>
          <cell r="C14">
            <v>569.92463999999995</v>
          </cell>
          <cell r="D14">
            <v>20356.082030000001</v>
          </cell>
          <cell r="E14">
            <v>9020.6162100000001</v>
          </cell>
          <cell r="F14">
            <v>51.831679999999999</v>
          </cell>
          <cell r="G14">
            <v>3193.8618200000001</v>
          </cell>
          <cell r="H14">
            <v>11462.190430000001</v>
          </cell>
          <cell r="I14">
            <v>8968.7841800000006</v>
          </cell>
          <cell r="J14">
            <v>0.78247</v>
          </cell>
          <cell r="K14">
            <v>0.50382000000000005</v>
          </cell>
          <cell r="L14">
            <v>31045.61188</v>
          </cell>
          <cell r="M14">
            <v>4907.1059800000003</v>
          </cell>
        </row>
        <row r="15">
          <cell r="A15" t="str">
            <v>Finland</v>
          </cell>
          <cell r="B15">
            <v>36337.035159999999</v>
          </cell>
          <cell r="C15">
            <v>6794.0927600000005</v>
          </cell>
          <cell r="D15">
            <v>151276.875</v>
          </cell>
          <cell r="E15">
            <v>65999.757809999996</v>
          </cell>
          <cell r="F15">
            <v>1010.8858</v>
          </cell>
          <cell r="G15">
            <v>28651.837889999999</v>
          </cell>
          <cell r="H15">
            <v>85809.984379999994</v>
          </cell>
          <cell r="I15">
            <v>64988.871090000001</v>
          </cell>
          <cell r="J15">
            <v>0.75736000000000003</v>
          </cell>
          <cell r="K15">
            <v>0.42346</v>
          </cell>
          <cell r="L15">
            <v>268514.99424999999</v>
          </cell>
          <cell r="M15">
            <v>50776.019950000002</v>
          </cell>
        </row>
        <row r="16">
          <cell r="A16" t="str">
            <v>France</v>
          </cell>
          <cell r="B16">
            <v>220255.5625</v>
          </cell>
          <cell r="C16">
            <v>60619.620360000001</v>
          </cell>
          <cell r="D16">
            <v>1528711.125</v>
          </cell>
          <cell r="E16">
            <v>503020.34375</v>
          </cell>
          <cell r="F16">
            <v>-27169.654299999998</v>
          </cell>
          <cell r="G16">
            <v>309934.4375</v>
          </cell>
          <cell r="H16">
            <v>974192.75</v>
          </cell>
          <cell r="I16">
            <v>530190</v>
          </cell>
          <cell r="J16">
            <v>0.54423999999999995</v>
          </cell>
          <cell r="K16">
            <v>0.22609000000000001</v>
          </cell>
          <cell r="L16">
            <v>2728871.0320199998</v>
          </cell>
          <cell r="M16">
            <v>503243.11859000003</v>
          </cell>
        </row>
        <row r="17">
          <cell r="A17" t="str">
            <v>Germany</v>
          </cell>
          <cell r="B17">
            <v>518687.40625</v>
          </cell>
          <cell r="C17">
            <v>77736.332330000005</v>
          </cell>
          <cell r="D17">
            <v>2390202</v>
          </cell>
          <cell r="E17">
            <v>891995.3125</v>
          </cell>
          <cell r="F17">
            <v>-43347.183590000001</v>
          </cell>
          <cell r="G17">
            <v>416655.09375</v>
          </cell>
          <cell r="H17">
            <v>1509810</v>
          </cell>
          <cell r="I17">
            <v>935342.5</v>
          </cell>
          <cell r="J17">
            <v>0.61951000000000001</v>
          </cell>
          <cell r="K17">
            <v>0.34354000000000001</v>
          </cell>
          <cell r="L17">
            <v>3888327.9076100001</v>
          </cell>
          <cell r="M17">
            <v>715301.87757999997</v>
          </cell>
        </row>
        <row r="18">
          <cell r="A18" t="str">
            <v>Greece</v>
          </cell>
          <cell r="B18">
            <v>18851.654299999998</v>
          </cell>
          <cell r="C18">
            <v>4557.3820400000004</v>
          </cell>
          <cell r="D18">
            <v>73170.226559999996</v>
          </cell>
          <cell r="E18">
            <v>31865.699219999999</v>
          </cell>
          <cell r="F18">
            <v>-21.135680000000001</v>
          </cell>
          <cell r="G18">
            <v>13035.18066</v>
          </cell>
          <cell r="H18">
            <v>38145.160159999999</v>
          </cell>
          <cell r="I18">
            <v>31886.833979999999</v>
          </cell>
          <cell r="J18">
            <v>0.83592999999999995</v>
          </cell>
          <cell r="K18">
            <v>0.49420999999999998</v>
          </cell>
          <cell r="L18">
            <v>205144.33165000001</v>
          </cell>
          <cell r="M18">
            <v>30101.255379999999</v>
          </cell>
        </row>
        <row r="19">
          <cell r="A19" t="str">
            <v>Hungary</v>
          </cell>
          <cell r="B19">
            <v>26265.632809999999</v>
          </cell>
          <cell r="C19">
            <v>2111.8351299999999</v>
          </cell>
          <cell r="D19">
            <v>87569.570309999996</v>
          </cell>
          <cell r="E19">
            <v>39589.5</v>
          </cell>
          <cell r="F19">
            <v>-2217.7216800000001</v>
          </cell>
          <cell r="G19">
            <v>15541.587890000001</v>
          </cell>
          <cell r="H19">
            <v>46861.992189999997</v>
          </cell>
          <cell r="I19">
            <v>41807.222659999999</v>
          </cell>
          <cell r="J19">
            <v>0.89212999999999998</v>
          </cell>
          <cell r="K19">
            <v>0.56049000000000004</v>
          </cell>
          <cell r="L19">
            <v>163526.49142999999</v>
          </cell>
          <cell r="M19">
            <v>25945.10425</v>
          </cell>
        </row>
        <row r="20">
          <cell r="A20" t="str">
            <v>Ireland</v>
          </cell>
          <cell r="B20">
            <v>172625.3125</v>
          </cell>
          <cell r="C20">
            <v>12195.45023</v>
          </cell>
          <cell r="D20">
            <v>306245.34375</v>
          </cell>
          <cell r="E20">
            <v>222838.34375</v>
          </cell>
          <cell r="F20">
            <v>-34880.210939999997</v>
          </cell>
          <cell r="G20">
            <v>85093.242190000004</v>
          </cell>
          <cell r="H20">
            <v>80879.273440000004</v>
          </cell>
          <cell r="I20">
            <v>257718.5625</v>
          </cell>
          <cell r="J20">
            <v>3.1864599999999998</v>
          </cell>
          <cell r="K20">
            <v>2.13436</v>
          </cell>
          <cell r="L20">
            <v>399122.17836000002</v>
          </cell>
          <cell r="M20">
            <v>97241.308399999994</v>
          </cell>
          <cell r="N20">
            <v>63183.208769999997</v>
          </cell>
        </row>
        <row r="21">
          <cell r="A21" t="str">
            <v>Israel</v>
          </cell>
          <cell r="B21">
            <v>74033.171879999994</v>
          </cell>
          <cell r="C21">
            <v>12144.94939</v>
          </cell>
          <cell r="D21">
            <v>232740.5625</v>
          </cell>
          <cell r="E21">
            <v>100627.97656</v>
          </cell>
          <cell r="F21">
            <v>-3487.05737</v>
          </cell>
          <cell r="G21">
            <v>30081.865229999999</v>
          </cell>
          <cell r="H21">
            <v>126654.625</v>
          </cell>
          <cell r="I21">
            <v>104115.03125</v>
          </cell>
          <cell r="J21">
            <v>0.82203999999999999</v>
          </cell>
          <cell r="K21">
            <v>0.58452999999999999</v>
          </cell>
          <cell r="L21">
            <v>397934.70999</v>
          </cell>
          <cell r="M21">
            <v>51741.446199999998</v>
          </cell>
        </row>
        <row r="22">
          <cell r="A22" t="str">
            <v>Italy</v>
          </cell>
          <cell r="B22">
            <v>280770.4375</v>
          </cell>
          <cell r="C22">
            <v>39477.272420000001</v>
          </cell>
          <cell r="D22">
            <v>1026943.4375</v>
          </cell>
          <cell r="E22">
            <v>440897.78125</v>
          </cell>
          <cell r="F22">
            <v>-35238.71875</v>
          </cell>
          <cell r="G22">
            <v>195366.04688000001</v>
          </cell>
          <cell r="H22">
            <v>562726.875</v>
          </cell>
          <cell r="I22">
            <v>476136.5</v>
          </cell>
          <cell r="J22">
            <v>0.84611999999999998</v>
          </cell>
          <cell r="K22">
            <v>0.49895</v>
          </cell>
          <cell r="L22">
            <v>2011286.3213599999</v>
          </cell>
          <cell r="M22">
            <v>354089.32961000002</v>
          </cell>
        </row>
        <row r="23">
          <cell r="A23" t="str">
            <v>Japan</v>
          </cell>
          <cell r="B23">
            <v>614328.0625</v>
          </cell>
          <cell r="C23">
            <v>193069.11738000001</v>
          </cell>
          <cell r="D23">
            <v>2951108.75</v>
          </cell>
          <cell r="E23">
            <v>1359055.625</v>
          </cell>
          <cell r="F23">
            <v>-73031.140629999994</v>
          </cell>
          <cell r="G23">
            <v>817758.6875</v>
          </cell>
          <cell r="H23">
            <v>2208154.75</v>
          </cell>
          <cell r="I23">
            <v>1432086.75</v>
          </cell>
          <cell r="J23">
            <v>0.64854000000000001</v>
          </cell>
          <cell r="K23">
            <v>0.27821000000000001</v>
          </cell>
          <cell r="L23">
            <v>5098505.6683</v>
          </cell>
          <cell r="M23">
            <v>1233418.1447699999</v>
          </cell>
        </row>
        <row r="24">
          <cell r="A24" t="str">
            <v>Korea</v>
          </cell>
          <cell r="B24">
            <v>294732.21875</v>
          </cell>
          <cell r="C24">
            <v>70644.415980000005</v>
          </cell>
          <cell r="D24">
            <v>1076312.625</v>
          </cell>
          <cell r="E24">
            <v>511673.625</v>
          </cell>
          <cell r="F24">
            <v>-9331.9863299999997</v>
          </cell>
          <cell r="G24">
            <v>226273.39063000001</v>
          </cell>
          <cell r="H24">
            <v>548603.75</v>
          </cell>
          <cell r="I24">
            <v>521005.625</v>
          </cell>
          <cell r="J24">
            <v>0.94969000000000003</v>
          </cell>
          <cell r="K24">
            <v>0.53724000000000005</v>
          </cell>
          <cell r="L24">
            <v>1651422.93245</v>
          </cell>
          <cell r="M24">
            <v>327587.62868999998</v>
          </cell>
        </row>
        <row r="25">
          <cell r="A25" t="str">
            <v>Latvia</v>
          </cell>
          <cell r="B25">
            <v>4395.4589800000003</v>
          </cell>
          <cell r="C25">
            <v>0</v>
          </cell>
          <cell r="D25">
            <v>20821.89258</v>
          </cell>
          <cell r="E25">
            <v>8047.1513699999996</v>
          </cell>
          <cell r="F25">
            <v>-408.29599000000002</v>
          </cell>
          <cell r="G25">
            <v>4059.98828</v>
          </cell>
          <cell r="H25">
            <v>12772.502930000001</v>
          </cell>
          <cell r="I25">
            <v>8455.4472700000006</v>
          </cell>
          <cell r="J25">
            <v>0.66200000000000003</v>
          </cell>
          <cell r="K25">
            <v>0.34412999999999999</v>
          </cell>
          <cell r="L25">
            <v>34308.793700000002</v>
          </cell>
          <cell r="M25">
            <v>7346.3576800000001</v>
          </cell>
        </row>
        <row r="26">
          <cell r="A26" t="str">
            <v>Lithuania</v>
          </cell>
          <cell r="B26">
            <v>13395.872069999999</v>
          </cell>
          <cell r="C26">
            <v>0</v>
          </cell>
          <cell r="D26">
            <v>36713.59375</v>
          </cell>
          <cell r="E26">
            <v>17568.32617</v>
          </cell>
          <cell r="F26">
            <v>-19.74194</v>
          </cell>
          <cell r="G26">
            <v>4192.1958000000004</v>
          </cell>
          <cell r="H26">
            <v>19044.410159999999</v>
          </cell>
          <cell r="I26">
            <v>17588.068360000001</v>
          </cell>
          <cell r="J26">
            <v>0.92352999999999996</v>
          </cell>
          <cell r="K26">
            <v>0.70340000000000003</v>
          </cell>
          <cell r="L26">
            <v>54697.394760000003</v>
          </cell>
          <cell r="M26">
            <v>6842.7395299999998</v>
          </cell>
        </row>
        <row r="27">
          <cell r="A27" t="str">
            <v>Luxembourg</v>
          </cell>
          <cell r="B27">
            <v>56067.332029999998</v>
          </cell>
          <cell r="C27">
            <v>4210.4780600000004</v>
          </cell>
          <cell r="D27">
            <v>47286.953130000002</v>
          </cell>
          <cell r="E27">
            <v>20098.828130000002</v>
          </cell>
          <cell r="F27">
            <v>-40920.835939999997</v>
          </cell>
          <cell r="G27">
            <v>4952.3325199999999</v>
          </cell>
          <cell r="H27">
            <v>26105.369139999999</v>
          </cell>
          <cell r="I27">
            <v>61019.664060000003</v>
          </cell>
          <cell r="J27">
            <v>2.33744</v>
          </cell>
          <cell r="K27">
            <v>2.1477300000000001</v>
          </cell>
          <cell r="L27">
            <v>70195.773759999996</v>
          </cell>
          <cell r="M27">
            <v>8338.5202300000001</v>
          </cell>
          <cell r="N27">
            <v>127538.29723</v>
          </cell>
        </row>
        <row r="28">
          <cell r="A28" t="str">
            <v>Mexico</v>
          </cell>
          <cell r="B28">
            <v>317602.625</v>
          </cell>
          <cell r="C28">
            <v>41718.148390000002</v>
          </cell>
          <cell r="D28">
            <v>653706.1875</v>
          </cell>
          <cell r="E28">
            <v>485469.84375</v>
          </cell>
          <cell r="F28">
            <v>2922.6254899999999</v>
          </cell>
          <cell r="G28">
            <v>164944.59375</v>
          </cell>
          <cell r="H28">
            <v>162137.89063000001</v>
          </cell>
          <cell r="I28">
            <v>482547.21875</v>
          </cell>
          <cell r="J28">
            <v>2.9761500000000001</v>
          </cell>
          <cell r="K28">
            <v>1.9588399999999999</v>
          </cell>
          <cell r="L28">
            <v>1269402.10219</v>
          </cell>
          <cell r="M28">
            <v>222028.94443999999</v>
          </cell>
        </row>
        <row r="29">
          <cell r="A29" t="str">
            <v>Netherlands</v>
          </cell>
          <cell r="B29">
            <v>166164.78125</v>
          </cell>
          <cell r="C29">
            <v>33623.426579999999</v>
          </cell>
          <cell r="D29">
            <v>576444.4375</v>
          </cell>
          <cell r="E29">
            <v>237115.96875</v>
          </cell>
          <cell r="F29">
            <v>-15988.339840000001</v>
          </cell>
          <cell r="G29">
            <v>86939.53125</v>
          </cell>
          <cell r="H29">
            <v>339035.1875</v>
          </cell>
          <cell r="I29">
            <v>253104.3125</v>
          </cell>
          <cell r="J29">
            <v>0.74653999999999998</v>
          </cell>
          <cell r="K29">
            <v>0.49010999999999999</v>
          </cell>
          <cell r="L29">
            <v>910194.60950000002</v>
          </cell>
          <cell r="M29">
            <v>149144.27343999999</v>
          </cell>
          <cell r="N29">
            <v>69185.78357</v>
          </cell>
        </row>
        <row r="30">
          <cell r="A30" t="str">
            <v>New Zealand</v>
          </cell>
          <cell r="B30">
            <v>36535.996090000001</v>
          </cell>
          <cell r="C30">
            <v>8146.9159200000004</v>
          </cell>
          <cell r="D30">
            <v>151604.04688000001</v>
          </cell>
          <cell r="E30">
            <v>60459.746090000001</v>
          </cell>
          <cell r="F30">
            <v>2090.33691</v>
          </cell>
          <cell r="G30">
            <v>21833.412110000001</v>
          </cell>
          <cell r="H30">
            <v>68736.882809999996</v>
          </cell>
          <cell r="I30">
            <v>58369.410159999999</v>
          </cell>
          <cell r="J30">
            <v>0.84916999999999998</v>
          </cell>
          <cell r="K30">
            <v>0.53152999999999995</v>
          </cell>
          <cell r="L30">
            <v>213434.57136</v>
          </cell>
          <cell r="M30">
            <v>30884.624889999999</v>
          </cell>
        </row>
        <row r="31">
          <cell r="A31" t="str">
            <v>Norway</v>
          </cell>
          <cell r="B31">
            <v>78262.726559999996</v>
          </cell>
          <cell r="C31">
            <v>23824.545450000001</v>
          </cell>
          <cell r="D31">
            <v>249669.4375</v>
          </cell>
          <cell r="E31">
            <v>124099.42969</v>
          </cell>
          <cell r="F31">
            <v>519.43182000000002</v>
          </cell>
          <cell r="G31">
            <v>45317.273439999997</v>
          </cell>
          <cell r="H31">
            <v>127103.86719</v>
          </cell>
          <cell r="I31">
            <v>123580</v>
          </cell>
          <cell r="J31">
            <v>0.97228000000000003</v>
          </cell>
          <cell r="K31">
            <v>0.61573999999999995</v>
          </cell>
          <cell r="L31">
            <v>404941.36364</v>
          </cell>
          <cell r="M31">
            <v>73949.886360000004</v>
          </cell>
        </row>
        <row r="32">
          <cell r="A32" t="str">
            <v>Poland</v>
          </cell>
          <cell r="B32">
            <v>99780.570309999996</v>
          </cell>
          <cell r="C32">
            <v>13181.051600000001</v>
          </cell>
          <cell r="D32">
            <v>302551.84375</v>
          </cell>
          <cell r="E32">
            <v>143099.85938000001</v>
          </cell>
          <cell r="F32">
            <v>-2254.5336900000002</v>
          </cell>
          <cell r="G32">
            <v>45573.824220000002</v>
          </cell>
          <cell r="H32">
            <v>153442.15625</v>
          </cell>
          <cell r="I32">
            <v>145354.39063000001</v>
          </cell>
          <cell r="J32">
            <v>0.94728999999999997</v>
          </cell>
          <cell r="K32">
            <v>0.65027999999999997</v>
          </cell>
          <cell r="L32">
            <v>597284.45385000005</v>
          </cell>
          <cell r="M32">
            <v>67256.780069999993</v>
          </cell>
        </row>
        <row r="33">
          <cell r="A33" t="str">
            <v>Portugal</v>
          </cell>
          <cell r="B33">
            <v>31016.179690000001</v>
          </cell>
          <cell r="C33">
            <v>7458.0846199999996</v>
          </cell>
          <cell r="D33">
            <v>127617.625</v>
          </cell>
          <cell r="E33">
            <v>50656.386720000002</v>
          </cell>
          <cell r="F33">
            <v>-1273.83923</v>
          </cell>
          <cell r="G33">
            <v>20914.046880000002</v>
          </cell>
          <cell r="H33">
            <v>75611.875</v>
          </cell>
          <cell r="I33">
            <v>51930.226560000003</v>
          </cell>
          <cell r="J33">
            <v>0.68679999999999997</v>
          </cell>
          <cell r="K33">
            <v>0.41020000000000001</v>
          </cell>
          <cell r="L33">
            <v>239986.99170000001</v>
          </cell>
          <cell r="M33">
            <v>42335.658860000003</v>
          </cell>
        </row>
        <row r="34">
          <cell r="A34" t="str">
            <v>Russia</v>
          </cell>
          <cell r="B34">
            <v>373175</v>
          </cell>
          <cell r="C34">
            <v>0</v>
          </cell>
          <cell r="D34">
            <v>1082832.375</v>
          </cell>
          <cell r="E34">
            <v>516962.96875</v>
          </cell>
          <cell r="F34">
            <v>18868.167969999999</v>
          </cell>
          <cell r="G34">
            <v>124919.78906</v>
          </cell>
          <cell r="H34">
            <v>553690.4375</v>
          </cell>
          <cell r="I34">
            <v>498094.8125</v>
          </cell>
          <cell r="J34">
            <v>0.89959</v>
          </cell>
          <cell r="K34">
            <v>0.67398000000000002</v>
          </cell>
          <cell r="L34">
            <v>1687449.6201299999</v>
          </cell>
          <cell r="M34">
            <v>219767.19192000001</v>
          </cell>
        </row>
        <row r="35">
          <cell r="A35" t="str">
            <v>Slovak Republic</v>
          </cell>
          <cell r="B35">
            <v>15407.387699999999</v>
          </cell>
          <cell r="C35">
            <v>3188.3594800000001</v>
          </cell>
          <cell r="D35">
            <v>55595.042970000002</v>
          </cell>
          <cell r="E35">
            <v>25537.806639999999</v>
          </cell>
          <cell r="F35">
            <v>-495.37209999999999</v>
          </cell>
          <cell r="G35">
            <v>10625.791020000001</v>
          </cell>
          <cell r="H35">
            <v>28925.318360000001</v>
          </cell>
          <cell r="I35">
            <v>26033.179690000001</v>
          </cell>
          <cell r="J35">
            <v>0.90000999999999998</v>
          </cell>
          <cell r="K35">
            <v>0.53266000000000002</v>
          </cell>
          <cell r="L35">
            <v>105284.40594</v>
          </cell>
          <cell r="M35">
            <v>17797.14892</v>
          </cell>
        </row>
        <row r="36">
          <cell r="A36" t="str">
            <v>Slovenia</v>
          </cell>
          <cell r="B36">
            <v>5102.40967</v>
          </cell>
          <cell r="C36">
            <v>1067.4640300000001</v>
          </cell>
          <cell r="D36">
            <v>30798.10742</v>
          </cell>
          <cell r="E36">
            <v>10744.674800000001</v>
          </cell>
          <cell r="F36">
            <v>-371.38576999999998</v>
          </cell>
          <cell r="G36">
            <v>6013.6508800000001</v>
          </cell>
          <cell r="H36">
            <v>19802.166020000001</v>
          </cell>
          <cell r="I36">
            <v>11116.06055</v>
          </cell>
          <cell r="J36">
            <v>0.56135999999999997</v>
          </cell>
          <cell r="K36">
            <v>0.25767000000000001</v>
          </cell>
          <cell r="L36">
            <v>54178.887600000002</v>
          </cell>
          <cell r="M36">
            <v>9944.4068800000005</v>
          </cell>
        </row>
        <row r="37">
          <cell r="A37" t="str">
            <v>South Africa</v>
          </cell>
          <cell r="B37">
            <v>65252.570310000003</v>
          </cell>
          <cell r="C37">
            <v>0</v>
          </cell>
          <cell r="D37">
            <v>193315.01563000001</v>
          </cell>
          <cell r="E37">
            <v>85644.476559999996</v>
          </cell>
          <cell r="F37">
            <v>-17095.771479999999</v>
          </cell>
          <cell r="G37">
            <v>37487.679689999997</v>
          </cell>
          <cell r="H37">
            <v>103883.21094</v>
          </cell>
          <cell r="I37">
            <v>102740.25</v>
          </cell>
          <cell r="J37">
            <v>0.98899999999999999</v>
          </cell>
          <cell r="K37">
            <v>0.62812999999999997</v>
          </cell>
          <cell r="L37">
            <v>351430.99245000002</v>
          </cell>
          <cell r="M37">
            <v>49353.320610000002</v>
          </cell>
        </row>
        <row r="38">
          <cell r="A38" t="str">
            <v>Spain</v>
          </cell>
          <cell r="B38">
            <v>196688.35938000001</v>
          </cell>
          <cell r="C38">
            <v>28790.653730000002</v>
          </cell>
          <cell r="D38">
            <v>777585</v>
          </cell>
          <cell r="E38">
            <v>329389.78125</v>
          </cell>
          <cell r="F38">
            <v>-9715.9218799999999</v>
          </cell>
          <cell r="G38">
            <v>142417.34375</v>
          </cell>
          <cell r="H38">
            <v>443218</v>
          </cell>
          <cell r="I38">
            <v>339105.6875</v>
          </cell>
          <cell r="J38">
            <v>0.7651</v>
          </cell>
          <cell r="K38">
            <v>0.44377</v>
          </cell>
          <cell r="L38">
            <v>1393046.4940299999</v>
          </cell>
          <cell r="M38">
            <v>212535.65526999999</v>
          </cell>
        </row>
        <row r="39">
          <cell r="A39" t="str">
            <v>Sweden</v>
          </cell>
          <cell r="B39">
            <v>68312.03125</v>
          </cell>
          <cell r="C39">
            <v>16066.212299999999</v>
          </cell>
          <cell r="D39">
            <v>341838.84375</v>
          </cell>
          <cell r="E39">
            <v>130518.44531</v>
          </cell>
          <cell r="F39">
            <v>-2988.1535600000002</v>
          </cell>
          <cell r="G39">
            <v>65194.570310000003</v>
          </cell>
          <cell r="H39">
            <v>178997.625</v>
          </cell>
          <cell r="I39">
            <v>133506.59375</v>
          </cell>
          <cell r="J39">
            <v>0.74585999999999997</v>
          </cell>
          <cell r="K39">
            <v>0.38163999999999998</v>
          </cell>
          <cell r="L39">
            <v>533879.53859999997</v>
          </cell>
          <cell r="M39">
            <v>90873.259170000005</v>
          </cell>
        </row>
        <row r="40">
          <cell r="A40" t="str">
            <v>Switzerland</v>
          </cell>
          <cell r="B40">
            <v>100343.32812999999</v>
          </cell>
          <cell r="C40">
            <v>22742.181059999999</v>
          </cell>
          <cell r="D40">
            <v>537614.75</v>
          </cell>
          <cell r="E40">
            <v>192358.125</v>
          </cell>
          <cell r="F40">
            <v>-25986.253909999999</v>
          </cell>
          <cell r="G40">
            <v>118001.05469</v>
          </cell>
          <cell r="H40">
            <v>346248.78125</v>
          </cell>
          <cell r="I40">
            <v>218344.375</v>
          </cell>
          <cell r="J40">
            <v>0.63060000000000005</v>
          </cell>
          <cell r="K40">
            <v>0.2898</v>
          </cell>
          <cell r="L40">
            <v>731816.00046000001</v>
          </cell>
          <cell r="M40">
            <v>162377.92553000001</v>
          </cell>
        </row>
        <row r="41">
          <cell r="A41" t="str">
            <v>Turkey</v>
          </cell>
          <cell r="B41">
            <v>166568.82811999999</v>
          </cell>
          <cell r="C41">
            <v>16293.79977</v>
          </cell>
          <cell r="D41">
            <v>424272.125</v>
          </cell>
          <cell r="E41">
            <v>257270.29688000001</v>
          </cell>
          <cell r="F41">
            <v>7055.3032199999998</v>
          </cell>
          <cell r="G41">
            <v>83646.171879999994</v>
          </cell>
          <cell r="H41">
            <v>173249.46875</v>
          </cell>
          <cell r="I41">
            <v>250215</v>
          </cell>
          <cell r="J41">
            <v>1.44425</v>
          </cell>
          <cell r="K41">
            <v>0.96143999999999996</v>
          </cell>
          <cell r="L41">
            <v>771350.33045999997</v>
          </cell>
          <cell r="M41">
            <v>125817.90892</v>
          </cell>
        </row>
        <row r="42">
          <cell r="A42" t="str">
            <v>United Kingdom</v>
          </cell>
          <cell r="B42">
            <v>384467.34375</v>
          </cell>
          <cell r="C42">
            <v>65100.932419999997</v>
          </cell>
          <cell r="D42">
            <v>1741435.625</v>
          </cell>
          <cell r="E42">
            <v>630466.75</v>
          </cell>
          <cell r="F42">
            <v>-7220.6728499999999</v>
          </cell>
          <cell r="G42">
            <v>253220.07813000001</v>
          </cell>
          <cell r="H42">
            <v>1074266.875</v>
          </cell>
          <cell r="I42">
            <v>637687.4375</v>
          </cell>
          <cell r="J42">
            <v>0.59360000000000002</v>
          </cell>
          <cell r="K42">
            <v>0.35788999999999999</v>
          </cell>
          <cell r="L42">
            <v>2878674.3166399999</v>
          </cell>
          <cell r="M42">
            <v>430325.03876999998</v>
          </cell>
        </row>
        <row r="43">
          <cell r="A43" t="str">
            <v>United States</v>
          </cell>
          <cell r="B43">
            <v>2028859.5</v>
          </cell>
          <cell r="C43">
            <v>286819.8</v>
          </cell>
          <cell r="D43">
            <v>12344746</v>
          </cell>
          <cell r="E43">
            <v>4161781.75</v>
          </cell>
          <cell r="F43">
            <v>220959.98438000001</v>
          </cell>
          <cell r="G43">
            <v>1911962.25</v>
          </cell>
          <cell r="H43">
            <v>7185202</v>
          </cell>
          <cell r="I43">
            <v>3940821.75</v>
          </cell>
          <cell r="J43">
            <v>0.54845999999999995</v>
          </cell>
          <cell r="K43">
            <v>0.28237000000000001</v>
          </cell>
          <cell r="L43">
            <v>21372582.423999999</v>
          </cell>
          <cell r="M43">
            <v>3435585.358</v>
          </cell>
        </row>
        <row r="44">
          <cell r="A44" t="str">
            <v>Total</v>
          </cell>
          <cell r="B44">
            <v>10282666.359859999</v>
          </cell>
          <cell r="C44">
            <v>1153461.5939499999</v>
          </cell>
          <cell r="D44">
            <v>42423881.722659998</v>
          </cell>
          <cell r="E44">
            <v>17230250.833980002</v>
          </cell>
          <cell r="F44">
            <v>-62832.860489999999</v>
          </cell>
          <cell r="G44">
            <v>7010417.37598</v>
          </cell>
          <cell r="H44">
            <v>23093342.62988</v>
          </cell>
          <cell r="I44">
            <v>17293083.605470002</v>
          </cell>
          <cell r="J44">
            <v>40.966070000000002</v>
          </cell>
          <cell r="K44">
            <v>26.372209999999999</v>
          </cell>
          <cell r="L44">
            <v>70680861.065929994</v>
          </cell>
          <cell r="M44">
            <v>9305878.6250500008</v>
          </cell>
        </row>
      </sheetData>
      <sheetData sheetId="14" refreshError="1"/>
      <sheetData sheetId="15">
        <row r="4">
          <cell r="H4">
            <v>1391.95251037</v>
          </cell>
        </row>
        <row r="5">
          <cell r="H5">
            <v>445.01187270000003</v>
          </cell>
        </row>
        <row r="6">
          <cell r="H6">
            <v>535.37625815000001</v>
          </cell>
        </row>
        <row r="7">
          <cell r="H7">
            <v>1742.01504548</v>
          </cell>
        </row>
        <row r="8">
          <cell r="H8">
            <v>278.58473309999999</v>
          </cell>
        </row>
        <row r="9">
          <cell r="H9">
            <v>252.49803224999999</v>
          </cell>
        </row>
        <row r="10">
          <cell r="H10">
            <v>347.56134921</v>
          </cell>
        </row>
        <row r="11">
          <cell r="H11">
            <v>31.04559175</v>
          </cell>
        </row>
        <row r="12">
          <cell r="H12">
            <v>268.50820013000003</v>
          </cell>
        </row>
        <row r="13">
          <cell r="H13">
            <v>2728.8702467100002</v>
          </cell>
        </row>
        <row r="14">
          <cell r="H14">
            <v>3888.32678863</v>
          </cell>
        </row>
        <row r="15">
          <cell r="H15">
            <v>205.14415283</v>
          </cell>
        </row>
        <row r="16">
          <cell r="H16">
            <v>163.52649142999999</v>
          </cell>
        </row>
        <row r="17">
          <cell r="H17">
            <v>24.857740450000001</v>
          </cell>
        </row>
        <row r="18">
          <cell r="H18">
            <v>399.12206349999997</v>
          </cell>
        </row>
        <row r="19">
          <cell r="H19">
            <v>397.93459694999996</v>
          </cell>
        </row>
        <row r="20">
          <cell r="H20">
            <v>2011.2857425500001</v>
          </cell>
        </row>
        <row r="21">
          <cell r="H21">
            <v>5123.3181515100005</v>
          </cell>
        </row>
        <row r="22">
          <cell r="H22">
            <v>1651.42293245</v>
          </cell>
        </row>
        <row r="23">
          <cell r="H23">
            <v>34.308783830000003</v>
          </cell>
        </row>
        <row r="24">
          <cell r="H24">
            <v>70.195715500000006</v>
          </cell>
        </row>
        <row r="25">
          <cell r="H25">
            <v>1269.40427677</v>
          </cell>
        </row>
        <row r="26">
          <cell r="H26">
            <v>910.19434756999999</v>
          </cell>
        </row>
        <row r="27">
          <cell r="H27">
            <v>213.43457136000001</v>
          </cell>
        </row>
        <row r="28">
          <cell r="H28">
            <v>404.94136364000002</v>
          </cell>
        </row>
        <row r="29">
          <cell r="H29">
            <v>597.28056466999999</v>
          </cell>
        </row>
        <row r="30">
          <cell r="H30">
            <v>239.98692264000002</v>
          </cell>
        </row>
        <row r="31">
          <cell r="H31">
            <v>105.28437563999999</v>
          </cell>
        </row>
        <row r="32">
          <cell r="H32">
            <v>54.178877610000001</v>
          </cell>
        </row>
        <row r="33">
          <cell r="H33">
            <v>1393.04609314</v>
          </cell>
        </row>
        <row r="34">
          <cell r="H34">
            <v>533.87952919000008</v>
          </cell>
        </row>
        <row r="35">
          <cell r="H35">
            <v>731.76739805</v>
          </cell>
        </row>
        <row r="36">
          <cell r="H36">
            <v>761.00442561</v>
          </cell>
        </row>
        <row r="37">
          <cell r="H37">
            <v>2878.67391241</v>
          </cell>
        </row>
        <row r="38">
          <cell r="H38">
            <v>21372.572436999999</v>
          </cell>
        </row>
        <row r="40">
          <cell r="H40">
            <v>1873.2881589800002</v>
          </cell>
        </row>
        <row r="41">
          <cell r="H41">
            <v>14279.93750061</v>
          </cell>
        </row>
        <row r="42">
          <cell r="H42">
            <v>323.10954332</v>
          </cell>
        </row>
        <row r="43">
          <cell r="H43">
            <v>64.417670080000008</v>
          </cell>
        </row>
        <row r="44">
          <cell r="H44">
            <v>2831.5522225199998</v>
          </cell>
        </row>
        <row r="45">
          <cell r="H45">
            <v>1693.11390426</v>
          </cell>
        </row>
        <row r="46">
          <cell r="H46">
            <v>387.93457410000002</v>
          </cell>
        </row>
        <row r="48">
          <cell r="H48">
            <v>3.1551493500000003</v>
          </cell>
        </row>
        <row r="49">
          <cell r="H49">
            <v>0.291932109</v>
          </cell>
        </row>
        <row r="50">
          <cell r="H50">
            <v>1.6875333299999999</v>
          </cell>
        </row>
        <row r="51">
          <cell r="H51">
            <v>3.3100558700000002</v>
          </cell>
        </row>
        <row r="52">
          <cell r="H52">
            <v>13.1928</v>
          </cell>
        </row>
        <row r="53">
          <cell r="H53">
            <v>32.102630741999995</v>
          </cell>
        </row>
        <row r="54">
          <cell r="H54">
            <v>5.3041643199999999</v>
          </cell>
        </row>
        <row r="55">
          <cell r="H55">
            <v>1.94525024</v>
          </cell>
        </row>
        <row r="56">
          <cell r="H56">
            <v>7.4234650000000002</v>
          </cell>
        </row>
        <row r="57">
          <cell r="H57">
            <v>0.41564614</v>
          </cell>
        </row>
        <row r="58">
          <cell r="H58">
            <v>0.92824200000000001</v>
          </cell>
        </row>
        <row r="59">
          <cell r="H59">
            <v>5.9435891000000005</v>
          </cell>
        </row>
        <row r="60">
          <cell r="H60">
            <v>2.9951854899999999</v>
          </cell>
        </row>
        <row r="61">
          <cell r="H61">
            <v>25.75835777</v>
          </cell>
        </row>
        <row r="62">
          <cell r="H62">
            <v>6.3601801045999995</v>
          </cell>
        </row>
        <row r="63">
          <cell r="H63">
            <v>1.2134851900000001</v>
          </cell>
        </row>
        <row r="64">
          <cell r="H64">
            <v>4.4021154883999998</v>
          </cell>
        </row>
        <row r="65">
          <cell r="H65">
            <v>2.5887637999999993</v>
          </cell>
        </row>
        <row r="66">
          <cell r="H66">
            <v>363.05248917999995</v>
          </cell>
        </row>
        <row r="67">
          <cell r="H67">
            <v>7.3153880499999993</v>
          </cell>
        </row>
        <row r="68">
          <cell r="H68">
            <v>51.605959130000002</v>
          </cell>
        </row>
        <row r="69">
          <cell r="H69">
            <v>6.4272489400000001</v>
          </cell>
        </row>
        <row r="70">
          <cell r="H70">
            <v>55.204758070000004</v>
          </cell>
        </row>
        <row r="71">
          <cell r="H71">
            <v>15.71950092</v>
          </cell>
        </row>
        <row r="72">
          <cell r="H72">
            <v>0.23946219999999999</v>
          </cell>
        </row>
        <row r="73">
          <cell r="H73">
            <v>7.3837456599999998</v>
          </cell>
        </row>
        <row r="74">
          <cell r="H74">
            <v>0.81963768599999987</v>
          </cell>
        </row>
        <row r="75">
          <cell r="H75">
            <v>14.045808839999999</v>
          </cell>
        </row>
        <row r="76">
          <cell r="H76">
            <v>1.6842285300000002</v>
          </cell>
        </row>
        <row r="77">
          <cell r="H77">
            <v>375.47273127</v>
          </cell>
        </row>
        <row r="78">
          <cell r="H78">
            <v>1.1648778500000001</v>
          </cell>
        </row>
        <row r="79">
          <cell r="H79">
            <v>2.1187915500000001</v>
          </cell>
        </row>
        <row r="80">
          <cell r="H80">
            <v>0.91014970000000006</v>
          </cell>
        </row>
        <row r="81">
          <cell r="H81">
            <v>1.1974149999999999</v>
          </cell>
        </row>
        <row r="82">
          <cell r="H82">
            <v>66.984427199999999</v>
          </cell>
        </row>
        <row r="83">
          <cell r="H83">
            <v>104.91460000000001</v>
          </cell>
        </row>
        <row r="86">
          <cell r="H86">
            <v>11547.713781520026</v>
          </cell>
        </row>
      </sheetData>
      <sheetData sheetId="16" refreshError="1"/>
      <sheetData sheetId="17">
        <row r="1">
          <cell r="A1" t="str">
            <v>UNU-WIDER GRD</v>
          </cell>
        </row>
        <row r="2">
          <cell r="A2" t="str">
            <v>iso</v>
          </cell>
          <cell r="B2" t="str">
            <v>corptaxrev</v>
          </cell>
        </row>
        <row r="3">
          <cell r="A3" t="str">
            <v>ABW</v>
          </cell>
          <cell r="B3">
            <v>6.7460000000000006E-2</v>
          </cell>
        </row>
        <row r="4">
          <cell r="A4" t="str">
            <v>AFG</v>
          </cell>
          <cell r="B4">
            <v>0.18198</v>
          </cell>
        </row>
        <row r="5">
          <cell r="A5" t="str">
            <v>ALB</v>
          </cell>
          <cell r="B5">
            <v>0.44019000000000003</v>
          </cell>
        </row>
        <row r="6">
          <cell r="A6" t="str">
            <v>ARG</v>
          </cell>
          <cell r="B6">
            <v>12.253769999999999</v>
          </cell>
        </row>
        <row r="7">
          <cell r="A7" t="str">
            <v>ARM</v>
          </cell>
          <cell r="B7">
            <v>0.37746000000000002</v>
          </cell>
        </row>
        <row r="8">
          <cell r="A8" t="str">
            <v>ATG</v>
          </cell>
          <cell r="B8">
            <v>2.9090000000000001E-2</v>
          </cell>
        </row>
        <row r="9">
          <cell r="A9" t="str">
            <v>AUS</v>
          </cell>
          <cell r="B9">
            <v>65.748720000000006</v>
          </cell>
        </row>
        <row r="10">
          <cell r="A10" t="str">
            <v>AUT</v>
          </cell>
          <cell r="B10">
            <v>12.085129999999999</v>
          </cell>
        </row>
        <row r="11">
          <cell r="A11" t="str">
            <v>AZE</v>
          </cell>
          <cell r="B11">
            <v>1.4976499999999999</v>
          </cell>
        </row>
        <row r="12">
          <cell r="A12" t="str">
            <v>BDI</v>
          </cell>
          <cell r="B12">
            <v>5.3620000000000001E-2</v>
          </cell>
        </row>
        <row r="13">
          <cell r="A13" t="str">
            <v>BEL</v>
          </cell>
          <cell r="B13">
            <v>19.858049999999999</v>
          </cell>
        </row>
        <row r="14">
          <cell r="A14" t="str">
            <v>BEN</v>
          </cell>
          <cell r="B14">
            <v>0.14781</v>
          </cell>
        </row>
        <row r="15">
          <cell r="A15" t="str">
            <v>BFA</v>
          </cell>
          <cell r="B15">
            <v>0.51014000000000004</v>
          </cell>
        </row>
        <row r="16">
          <cell r="A16" t="str">
            <v>BGD</v>
          </cell>
          <cell r="B16">
            <v>6.1456400000000002</v>
          </cell>
        </row>
        <row r="17">
          <cell r="A17" t="str">
            <v>BGR</v>
          </cell>
          <cell r="B17">
            <v>1.5838000000000001</v>
          </cell>
        </row>
        <row r="18">
          <cell r="A18" t="str">
            <v>BHR</v>
          </cell>
          <cell r="B18">
            <v>6.6400000000000001E-2</v>
          </cell>
        </row>
        <row r="19">
          <cell r="A19" t="str">
            <v>BHS</v>
          </cell>
          <cell r="B19">
            <v>0</v>
          </cell>
        </row>
        <row r="20">
          <cell r="A20" t="str">
            <v>BIH</v>
          </cell>
          <cell r="B20">
            <v>0.36537999999999998</v>
          </cell>
        </row>
        <row r="21">
          <cell r="A21" t="str">
            <v>BLR</v>
          </cell>
          <cell r="B21">
            <v>1.9488000000000001</v>
          </cell>
        </row>
        <row r="22">
          <cell r="A22" t="str">
            <v>BLZ</v>
          </cell>
          <cell r="B22">
            <v>2.1420000000000002E-2</v>
          </cell>
        </row>
        <row r="23">
          <cell r="A23" t="str">
            <v>BOL</v>
          </cell>
          <cell r="B23">
            <v>1.4786999999999999</v>
          </cell>
        </row>
        <row r="24">
          <cell r="A24" t="str">
            <v>BRA</v>
          </cell>
          <cell r="B24">
            <v>52.606450000000002</v>
          </cell>
        </row>
        <row r="25">
          <cell r="A25" t="str">
            <v>BRB</v>
          </cell>
          <cell r="B25">
            <v>0.16433</v>
          </cell>
        </row>
        <row r="26">
          <cell r="A26" t="str">
            <v>BRN</v>
          </cell>
          <cell r="B26">
            <v>2.7773699999999999</v>
          </cell>
        </row>
        <row r="27">
          <cell r="A27" t="str">
            <v>BTN</v>
          </cell>
          <cell r="B27">
            <v>0.15265000000000001</v>
          </cell>
        </row>
        <row r="28">
          <cell r="A28" t="str">
            <v>BWA</v>
          </cell>
          <cell r="B28">
            <v>1.7220599999999999</v>
          </cell>
        </row>
        <row r="29">
          <cell r="A29" t="str">
            <v>CAF</v>
          </cell>
          <cell r="B29">
            <v>2.3539999999999998E-2</v>
          </cell>
        </row>
        <row r="30">
          <cell r="A30" t="str">
            <v>CAN</v>
          </cell>
          <cell r="B30">
            <v>72.475239999999999</v>
          </cell>
        </row>
        <row r="31">
          <cell r="A31" t="str">
            <v>CHE</v>
          </cell>
          <cell r="B31">
            <v>22.828510000000001</v>
          </cell>
        </row>
        <row r="32">
          <cell r="A32" t="str">
            <v>CHL</v>
          </cell>
          <cell r="B32">
            <v>4.2252999999999998</v>
          </cell>
        </row>
        <row r="33">
          <cell r="A33" t="str">
            <v>CHN</v>
          </cell>
          <cell r="B33">
            <v>537.69146999999998</v>
          </cell>
        </row>
        <row r="34">
          <cell r="A34" t="str">
            <v>CIV</v>
          </cell>
          <cell r="B34">
            <v>0.72418000000000005</v>
          </cell>
        </row>
        <row r="35">
          <cell r="A35" t="str">
            <v>CMR</v>
          </cell>
          <cell r="B35">
            <v>0.78071000000000002</v>
          </cell>
        </row>
        <row r="36">
          <cell r="A36" t="str">
            <v>COD</v>
          </cell>
          <cell r="B36">
            <v>1.1464099999999999</v>
          </cell>
        </row>
        <row r="37">
          <cell r="A37" t="str">
            <v>COG</v>
          </cell>
          <cell r="B37">
            <v>5.203E-2</v>
          </cell>
        </row>
        <row r="38">
          <cell r="A38" t="str">
            <v>COM</v>
          </cell>
          <cell r="B38">
            <v>1.397E-2</v>
          </cell>
        </row>
        <row r="39">
          <cell r="A39" t="str">
            <v>CPV</v>
          </cell>
          <cell r="B39">
            <v>5.5550000000000002E-2</v>
          </cell>
        </row>
        <row r="40">
          <cell r="A40" t="str">
            <v>CRI</v>
          </cell>
          <cell r="B40">
            <v>1.8016300000000001</v>
          </cell>
        </row>
        <row r="41">
          <cell r="A41" t="str">
            <v>CUB</v>
          </cell>
          <cell r="B41">
            <v>0</v>
          </cell>
        </row>
        <row r="42">
          <cell r="A42" t="str">
            <v>CYP</v>
          </cell>
          <cell r="B42">
            <v>1.4599800000000001</v>
          </cell>
        </row>
        <row r="43">
          <cell r="A43" t="str">
            <v>CZE</v>
          </cell>
          <cell r="B43">
            <v>8.8572399999999991</v>
          </cell>
        </row>
        <row r="44">
          <cell r="A44" t="str">
            <v>DEU</v>
          </cell>
          <cell r="B44">
            <v>77.736310000000003</v>
          </cell>
        </row>
        <row r="45">
          <cell r="A45" t="str">
            <v>DJI</v>
          </cell>
          <cell r="B45">
            <v>6.1219999999999997E-2</v>
          </cell>
        </row>
        <row r="46">
          <cell r="A46" t="str">
            <v>DMA</v>
          </cell>
          <cell r="B46">
            <v>1.238E-2</v>
          </cell>
        </row>
        <row r="47">
          <cell r="A47" t="str">
            <v>DNK</v>
          </cell>
          <cell r="B47">
            <v>10.9041</v>
          </cell>
        </row>
        <row r="48">
          <cell r="A48" t="str">
            <v>DOM</v>
          </cell>
          <cell r="B48">
            <v>1.87507</v>
          </cell>
        </row>
        <row r="49">
          <cell r="A49" t="str">
            <v>ECU</v>
          </cell>
          <cell r="B49">
            <v>1.30759</v>
          </cell>
        </row>
        <row r="50">
          <cell r="A50" t="str">
            <v>EGY</v>
          </cell>
          <cell r="B50">
            <v>9.2695900000000009</v>
          </cell>
        </row>
        <row r="51">
          <cell r="A51" t="str">
            <v>ESP</v>
          </cell>
          <cell r="B51">
            <v>28.790649999999999</v>
          </cell>
        </row>
        <row r="52">
          <cell r="A52" t="str">
            <v>EST</v>
          </cell>
          <cell r="B52">
            <v>0.56993000000000005</v>
          </cell>
        </row>
        <row r="53">
          <cell r="A53" t="str">
            <v>ETH</v>
          </cell>
          <cell r="B53">
            <v>1.32996</v>
          </cell>
        </row>
        <row r="54">
          <cell r="A54" t="str">
            <v>FIN</v>
          </cell>
          <cell r="B54">
            <v>6.7940899999999997</v>
          </cell>
        </row>
        <row r="55">
          <cell r="A55" t="str">
            <v>FJI</v>
          </cell>
          <cell r="B55">
            <v>0.16569999999999999</v>
          </cell>
        </row>
        <row r="56">
          <cell r="A56" t="str">
            <v>FRA</v>
          </cell>
          <cell r="B56">
            <v>60.736750000000001</v>
          </cell>
        </row>
        <row r="57">
          <cell r="A57" t="str">
            <v>FSM</v>
          </cell>
          <cell r="B57">
            <v>8.4180000000000005E-2</v>
          </cell>
        </row>
        <row r="58">
          <cell r="A58" t="str">
            <v>GBR</v>
          </cell>
          <cell r="B58">
            <v>65.100920000000002</v>
          </cell>
        </row>
        <row r="59">
          <cell r="A59" t="str">
            <v>GEO</v>
          </cell>
          <cell r="B59">
            <v>0.30728</v>
          </cell>
        </row>
        <row r="60">
          <cell r="A60" t="str">
            <v>GHA</v>
          </cell>
          <cell r="B60">
            <v>2.2680099999999999</v>
          </cell>
        </row>
        <row r="61">
          <cell r="A61" t="str">
            <v>GMB</v>
          </cell>
          <cell r="B61">
            <v>3.1440000000000003E-2</v>
          </cell>
        </row>
        <row r="62">
          <cell r="A62" t="str">
            <v>GNB</v>
          </cell>
          <cell r="B62">
            <v>2.2530000000000001E-2</v>
          </cell>
        </row>
        <row r="63">
          <cell r="A63" t="str">
            <v>GNQ</v>
          </cell>
          <cell r="B63">
            <v>0.78098999999999996</v>
          </cell>
        </row>
        <row r="64">
          <cell r="A64" t="str">
            <v>GRC</v>
          </cell>
          <cell r="B64">
            <v>4.5573899999999998</v>
          </cell>
        </row>
        <row r="65">
          <cell r="A65" t="str">
            <v>GRD</v>
          </cell>
          <cell r="B65">
            <v>1.9439999999999999E-2</v>
          </cell>
        </row>
        <row r="66">
          <cell r="A66" t="str">
            <v>GTM</v>
          </cell>
          <cell r="B66">
            <v>2.46055</v>
          </cell>
        </row>
        <row r="67">
          <cell r="A67" t="str">
            <v>GUY</v>
          </cell>
          <cell r="B67">
            <v>0.27983999999999998</v>
          </cell>
        </row>
        <row r="68">
          <cell r="A68" t="str">
            <v>HKG</v>
          </cell>
          <cell r="B68">
            <v>20.954840000000001</v>
          </cell>
        </row>
        <row r="69">
          <cell r="A69" t="str">
            <v>HND</v>
          </cell>
          <cell r="B69">
            <v>0.88273000000000001</v>
          </cell>
        </row>
        <row r="70">
          <cell r="A70" t="str">
            <v>HRV</v>
          </cell>
          <cell r="B70">
            <v>1.43984</v>
          </cell>
        </row>
        <row r="71">
          <cell r="A71" t="str">
            <v>HTI</v>
          </cell>
          <cell r="B71">
            <v>8.473E-2</v>
          </cell>
        </row>
        <row r="72">
          <cell r="A72" t="str">
            <v>HUN</v>
          </cell>
          <cell r="B72">
            <v>2.1118399999999999</v>
          </cell>
        </row>
        <row r="73">
          <cell r="A73" t="str">
            <v>IND</v>
          </cell>
          <cell r="B73">
            <v>90.875349999999997</v>
          </cell>
        </row>
        <row r="74">
          <cell r="A74" t="str">
            <v>IRL</v>
          </cell>
          <cell r="B74">
            <v>12.195489999999999</v>
          </cell>
        </row>
        <row r="75">
          <cell r="A75" t="str">
            <v>IRN</v>
          </cell>
          <cell r="B75">
            <v>9.99207</v>
          </cell>
        </row>
        <row r="76">
          <cell r="A76" t="str">
            <v>ISL</v>
          </cell>
          <cell r="B76">
            <v>0.51439999999999997</v>
          </cell>
        </row>
        <row r="77">
          <cell r="A77" t="str">
            <v>ISR</v>
          </cell>
          <cell r="B77">
            <v>12.14495</v>
          </cell>
        </row>
        <row r="78">
          <cell r="A78" t="str">
            <v>ITA</v>
          </cell>
          <cell r="B78">
            <v>39.477260000000001</v>
          </cell>
        </row>
        <row r="79">
          <cell r="A79" t="str">
            <v>JAM</v>
          </cell>
          <cell r="B79">
            <v>0.50724999999999998</v>
          </cell>
        </row>
        <row r="80">
          <cell r="A80" t="str">
            <v>JOR</v>
          </cell>
          <cell r="B80">
            <v>1.1066199999999999</v>
          </cell>
        </row>
        <row r="81">
          <cell r="A81" t="str">
            <v>JPN</v>
          </cell>
          <cell r="B81">
            <v>193.06609</v>
          </cell>
        </row>
        <row r="82">
          <cell r="A82" t="str">
            <v>KAZ</v>
          </cell>
          <cell r="B82">
            <v>15.071540000000001</v>
          </cell>
        </row>
        <row r="83">
          <cell r="A83" t="str">
            <v>KEN</v>
          </cell>
          <cell r="B83">
            <v>2.8582900000000002</v>
          </cell>
        </row>
        <row r="84">
          <cell r="A84" t="str">
            <v>KGZ</v>
          </cell>
          <cell r="B84">
            <v>0.24296000000000001</v>
          </cell>
        </row>
        <row r="85">
          <cell r="A85" t="str">
            <v>KHM</v>
          </cell>
          <cell r="B85">
            <v>0.99865000000000004</v>
          </cell>
        </row>
        <row r="86">
          <cell r="A86" t="str">
            <v>KIR</v>
          </cell>
          <cell r="B86">
            <v>4.0600000000000002E-3</v>
          </cell>
        </row>
        <row r="87">
          <cell r="A87" t="str">
            <v>KNA</v>
          </cell>
          <cell r="B87">
            <v>2.7699999999999999E-2</v>
          </cell>
        </row>
        <row r="88">
          <cell r="A88" t="str">
            <v>KOR</v>
          </cell>
          <cell r="B88">
            <v>7.0660000000000001E-2</v>
          </cell>
        </row>
        <row r="89">
          <cell r="A89" t="str">
            <v>KWT</v>
          </cell>
          <cell r="B89">
            <v>0.49958000000000002</v>
          </cell>
        </row>
        <row r="90">
          <cell r="A90" t="str">
            <v>LAO</v>
          </cell>
          <cell r="B90">
            <v>0.25353999999999999</v>
          </cell>
        </row>
        <row r="91">
          <cell r="A91" t="str">
            <v>LBR</v>
          </cell>
          <cell r="B91">
            <v>2.7390000000000001E-2</v>
          </cell>
        </row>
        <row r="92">
          <cell r="A92" t="str">
            <v>LCA</v>
          </cell>
          <cell r="B92">
            <v>4.104E-2</v>
          </cell>
        </row>
        <row r="93">
          <cell r="A93" t="str">
            <v>LIE</v>
          </cell>
          <cell r="B93">
            <v>0.19722000000000001</v>
          </cell>
        </row>
        <row r="94">
          <cell r="A94" t="str">
            <v>LKA</v>
          </cell>
          <cell r="B94">
            <v>1.76484</v>
          </cell>
        </row>
        <row r="95">
          <cell r="A95" t="str">
            <v>LSO</v>
          </cell>
          <cell r="B95">
            <v>7.2440000000000004E-2</v>
          </cell>
        </row>
        <row r="96">
          <cell r="A96" t="str">
            <v>LTU</v>
          </cell>
          <cell r="B96">
            <v>0.84984000000000004</v>
          </cell>
        </row>
        <row r="97">
          <cell r="A97" t="str">
            <v>LUX</v>
          </cell>
          <cell r="B97">
            <v>4.2104900000000001</v>
          </cell>
        </row>
        <row r="98">
          <cell r="A98" t="str">
            <v>LVA</v>
          </cell>
          <cell r="B98">
            <v>5.339E-2</v>
          </cell>
        </row>
        <row r="99">
          <cell r="A99" t="str">
            <v>MAC</v>
          </cell>
          <cell r="B99">
            <v>0.84502999999999995</v>
          </cell>
        </row>
        <row r="100">
          <cell r="A100" t="str">
            <v>MAR</v>
          </cell>
          <cell r="B100">
            <v>5.3471599999999997</v>
          </cell>
        </row>
        <row r="101">
          <cell r="A101" t="str">
            <v>MDA</v>
          </cell>
          <cell r="B101">
            <v>0.30531000000000003</v>
          </cell>
        </row>
        <row r="102">
          <cell r="A102" t="str">
            <v>MDG</v>
          </cell>
          <cell r="B102">
            <v>8.652E-2</v>
          </cell>
        </row>
        <row r="103">
          <cell r="A103" t="str">
            <v>MDV</v>
          </cell>
          <cell r="B103">
            <v>0.18847</v>
          </cell>
        </row>
        <row r="104">
          <cell r="A104" t="str">
            <v>MEX</v>
          </cell>
          <cell r="B104">
            <v>41.718220000000002</v>
          </cell>
        </row>
        <row r="105">
          <cell r="A105" t="str">
            <v>MHL</v>
          </cell>
          <cell r="B105">
            <v>0</v>
          </cell>
        </row>
        <row r="106">
          <cell r="A106" t="str">
            <v>MKD</v>
          </cell>
          <cell r="B106">
            <v>0.21110999999999999</v>
          </cell>
        </row>
        <row r="107">
          <cell r="A107" t="str">
            <v>MLI</v>
          </cell>
          <cell r="B107">
            <v>0.20757999999999999</v>
          </cell>
        </row>
        <row r="108">
          <cell r="A108" t="str">
            <v>MLT</v>
          </cell>
          <cell r="B108">
            <v>0.85496000000000005</v>
          </cell>
        </row>
        <row r="109">
          <cell r="A109" t="str">
            <v>MMR</v>
          </cell>
          <cell r="B109">
            <v>4.2119999999999998E-2</v>
          </cell>
        </row>
        <row r="110">
          <cell r="A110" t="str">
            <v>MNE</v>
          </cell>
          <cell r="B110">
            <v>8.1720000000000001E-2</v>
          </cell>
        </row>
        <row r="111">
          <cell r="A111" t="str">
            <v>MNG</v>
          </cell>
          <cell r="B111">
            <v>0.33301999999999998</v>
          </cell>
        </row>
        <row r="112">
          <cell r="A112" t="str">
            <v>MOZ</v>
          </cell>
          <cell r="B112">
            <v>1.7157199999999999</v>
          </cell>
        </row>
        <row r="113">
          <cell r="A113" t="str">
            <v>MRT</v>
          </cell>
          <cell r="B113">
            <v>0.15884000000000001</v>
          </cell>
        </row>
        <row r="114">
          <cell r="A114" t="str">
            <v>MUS</v>
          </cell>
          <cell r="B114">
            <v>0.41905999999999999</v>
          </cell>
        </row>
        <row r="115">
          <cell r="A115" t="str">
            <v>MWI</v>
          </cell>
          <cell r="B115">
            <v>0.21282000000000001</v>
          </cell>
        </row>
        <row r="116">
          <cell r="A116" t="str">
            <v>MYS</v>
          </cell>
          <cell r="B116">
            <v>23.350930000000002</v>
          </cell>
        </row>
        <row r="117">
          <cell r="A117" t="str">
            <v>NAM</v>
          </cell>
          <cell r="B117">
            <v>0.50412999999999997</v>
          </cell>
        </row>
        <row r="118">
          <cell r="A118" t="str">
            <v>NER</v>
          </cell>
          <cell r="B118">
            <v>0.18962000000000001</v>
          </cell>
        </row>
        <row r="119">
          <cell r="A119" t="str">
            <v>NGA</v>
          </cell>
          <cell r="B119">
            <v>5.0382800000000003</v>
          </cell>
        </row>
        <row r="120">
          <cell r="A120" t="str">
            <v>NIC</v>
          </cell>
          <cell r="B120">
            <v>0.7984</v>
          </cell>
        </row>
        <row r="121">
          <cell r="A121" t="str">
            <v>NLD</v>
          </cell>
          <cell r="B121">
            <v>33.623420000000003</v>
          </cell>
        </row>
        <row r="122">
          <cell r="A122" t="str">
            <v>NOR</v>
          </cell>
          <cell r="B122">
            <v>23.824539999999999</v>
          </cell>
        </row>
        <row r="123">
          <cell r="A123" t="str">
            <v>NPL</v>
          </cell>
          <cell r="B123">
            <v>1.1932</v>
          </cell>
        </row>
        <row r="124">
          <cell r="A124" t="str">
            <v>NZL</v>
          </cell>
          <cell r="B124">
            <v>8.2780299999999993</v>
          </cell>
        </row>
        <row r="125">
          <cell r="A125" t="str">
            <v>OMN</v>
          </cell>
          <cell r="B125">
            <v>1.1459299999999999</v>
          </cell>
        </row>
        <row r="126">
          <cell r="A126" t="str">
            <v>PAK</v>
          </cell>
          <cell r="B126">
            <v>6.1646799999999997</v>
          </cell>
        </row>
        <row r="127">
          <cell r="A127" t="str">
            <v>PER</v>
          </cell>
          <cell r="B127">
            <v>8.7262599999999999</v>
          </cell>
        </row>
        <row r="128">
          <cell r="A128" t="str">
            <v>PHL</v>
          </cell>
          <cell r="B128">
            <v>11.40258</v>
          </cell>
        </row>
        <row r="129">
          <cell r="A129" t="str">
            <v>PLW</v>
          </cell>
          <cell r="B129">
            <v>0</v>
          </cell>
        </row>
        <row r="130">
          <cell r="A130" t="str">
            <v>PNG</v>
          </cell>
          <cell r="B130">
            <v>0.76698</v>
          </cell>
        </row>
        <row r="131">
          <cell r="A131" t="str">
            <v>POL</v>
          </cell>
          <cell r="B131">
            <v>13.18097</v>
          </cell>
        </row>
        <row r="132">
          <cell r="A132" t="str">
            <v>PRT</v>
          </cell>
          <cell r="B132">
            <v>7.4580700000000002</v>
          </cell>
        </row>
        <row r="133">
          <cell r="A133" t="str">
            <v>PRY</v>
          </cell>
          <cell r="B133">
            <v>0.91676000000000002</v>
          </cell>
        </row>
        <row r="134">
          <cell r="A134" t="str">
            <v>QAT</v>
          </cell>
          <cell r="B134">
            <v>7.7729699999999999</v>
          </cell>
        </row>
        <row r="135">
          <cell r="A135" t="str">
            <v>ROU</v>
          </cell>
          <cell r="B135">
            <v>5.2461399999999996</v>
          </cell>
        </row>
        <row r="136">
          <cell r="A136" t="str">
            <v>RUS</v>
          </cell>
          <cell r="B136">
            <v>70.846710000000002</v>
          </cell>
        </row>
        <row r="137">
          <cell r="A137" t="str">
            <v>RWA</v>
          </cell>
          <cell r="B137">
            <v>0.31831999999999999</v>
          </cell>
        </row>
        <row r="138">
          <cell r="A138" t="str">
            <v>SAU</v>
          </cell>
          <cell r="B138">
            <v>0</v>
          </cell>
        </row>
        <row r="139">
          <cell r="A139" t="str">
            <v>SDN</v>
          </cell>
          <cell r="B139">
            <v>0.20727000000000001</v>
          </cell>
        </row>
        <row r="140">
          <cell r="A140" t="str">
            <v>SEN</v>
          </cell>
          <cell r="B140">
            <v>0.34622000000000003</v>
          </cell>
        </row>
        <row r="141">
          <cell r="A141" t="str">
            <v>SGP</v>
          </cell>
          <cell r="B141">
            <v>14.764110000000001</v>
          </cell>
        </row>
        <row r="142">
          <cell r="A142" t="str">
            <v>SLB</v>
          </cell>
          <cell r="B142">
            <v>5.9670000000000001E-2</v>
          </cell>
        </row>
        <row r="143">
          <cell r="A143" t="str">
            <v>SLE</v>
          </cell>
          <cell r="B143">
            <v>4.2619999999999998E-2</v>
          </cell>
        </row>
        <row r="144">
          <cell r="A144" t="str">
            <v>SLV</v>
          </cell>
          <cell r="B144">
            <v>0.98619000000000001</v>
          </cell>
        </row>
        <row r="145">
          <cell r="A145" t="str">
            <v>SMR</v>
          </cell>
          <cell r="B145">
            <v>0</v>
          </cell>
        </row>
        <row r="146">
          <cell r="A146" t="str">
            <v>SRB</v>
          </cell>
          <cell r="B146">
            <v>1.13733</v>
          </cell>
        </row>
        <row r="147">
          <cell r="A147" t="str">
            <v>STP</v>
          </cell>
          <cell r="B147">
            <v>9.9299999999999996E-3</v>
          </cell>
        </row>
        <row r="148">
          <cell r="A148" t="str">
            <v>SUR</v>
          </cell>
          <cell r="B148">
            <v>0.15770999999999999</v>
          </cell>
        </row>
        <row r="149">
          <cell r="A149" t="str">
            <v>SVK</v>
          </cell>
          <cell r="B149">
            <v>3.1883599999999999</v>
          </cell>
        </row>
        <row r="150">
          <cell r="A150" t="str">
            <v>SVN</v>
          </cell>
          <cell r="B150">
            <v>1.0674600000000001</v>
          </cell>
        </row>
        <row r="151">
          <cell r="A151" t="str">
            <v>SWE</v>
          </cell>
          <cell r="B151">
            <v>16.066210000000002</v>
          </cell>
        </row>
        <row r="152">
          <cell r="A152" t="str">
            <v>SWZ</v>
          </cell>
          <cell r="B152">
            <v>0.11738999999999999</v>
          </cell>
        </row>
        <row r="153">
          <cell r="A153" t="str">
            <v>SYC</v>
          </cell>
          <cell r="B153">
            <v>0.11237999999999999</v>
          </cell>
        </row>
        <row r="154">
          <cell r="A154" t="str">
            <v>TCD</v>
          </cell>
          <cell r="B154">
            <v>0.30460999999999999</v>
          </cell>
        </row>
        <row r="155">
          <cell r="A155" t="str">
            <v>TGO</v>
          </cell>
          <cell r="B155">
            <v>0.14154</v>
          </cell>
        </row>
        <row r="156">
          <cell r="A156" t="str">
            <v>THA</v>
          </cell>
          <cell r="B156">
            <v>23.624559999999999</v>
          </cell>
        </row>
        <row r="157">
          <cell r="A157" t="str">
            <v>TKM</v>
          </cell>
          <cell r="B157">
            <v>1.6912499999999999</v>
          </cell>
        </row>
        <row r="158">
          <cell r="A158" t="str">
            <v>TLS</v>
          </cell>
          <cell r="B158">
            <v>9.8499999999999994E-3</v>
          </cell>
        </row>
        <row r="159">
          <cell r="A159" t="str">
            <v>TTO</v>
          </cell>
          <cell r="B159">
            <v>1.59805</v>
          </cell>
        </row>
        <row r="160">
          <cell r="A160" t="str">
            <v>TUN</v>
          </cell>
          <cell r="B160">
            <v>1.2859700000000001</v>
          </cell>
        </row>
        <row r="161">
          <cell r="A161" t="str">
            <v>TUR</v>
          </cell>
          <cell r="B161">
            <v>13.893509999999999</v>
          </cell>
        </row>
        <row r="162">
          <cell r="A162" t="str">
            <v>TUV</v>
          </cell>
          <cell r="B162">
            <v>5.9999999999999995E-4</v>
          </cell>
        </row>
        <row r="163">
          <cell r="A163" t="str">
            <v>TZA</v>
          </cell>
          <cell r="B163">
            <v>0.84263999999999994</v>
          </cell>
        </row>
        <row r="164">
          <cell r="A164" t="str">
            <v>UGA</v>
          </cell>
          <cell r="B164">
            <v>0.29509000000000002</v>
          </cell>
        </row>
        <row r="165">
          <cell r="A165" t="str">
            <v>UKR</v>
          </cell>
          <cell r="B165">
            <v>4.5391399999999997</v>
          </cell>
        </row>
        <row r="166">
          <cell r="A166" t="str">
            <v>URY</v>
          </cell>
          <cell r="B166">
            <v>1.6471499999999999</v>
          </cell>
        </row>
        <row r="167">
          <cell r="A167" t="str">
            <v>USA</v>
          </cell>
          <cell r="B167">
            <v>286.81943000000001</v>
          </cell>
        </row>
        <row r="168">
          <cell r="A168" t="str">
            <v>UZB</v>
          </cell>
          <cell r="B168">
            <v>1.7954399999999999</v>
          </cell>
        </row>
        <row r="169">
          <cell r="A169" t="str">
            <v>VCT</v>
          </cell>
          <cell r="B169">
            <v>2.23E-2</v>
          </cell>
        </row>
        <row r="170">
          <cell r="A170" t="str">
            <v>VNM</v>
          </cell>
          <cell r="B170">
            <v>12.059979999999999</v>
          </cell>
        </row>
        <row r="171">
          <cell r="A171" t="str">
            <v>VUT</v>
          </cell>
          <cell r="B171">
            <v>0</v>
          </cell>
        </row>
        <row r="172">
          <cell r="A172" t="str">
            <v>WSM</v>
          </cell>
          <cell r="B172">
            <v>2.435E-2</v>
          </cell>
        </row>
        <row r="173">
          <cell r="A173" t="str">
            <v>YEM</v>
          </cell>
          <cell r="B173">
            <v>0.26250000000000001</v>
          </cell>
        </row>
        <row r="174">
          <cell r="A174" t="str">
            <v>ZAF</v>
          </cell>
          <cell r="B174">
            <v>16.853870000000001</v>
          </cell>
        </row>
        <row r="175">
          <cell r="A175" t="str">
            <v>ZMB</v>
          </cell>
          <cell r="B175">
            <v>0.58697999999999995</v>
          </cell>
        </row>
        <row r="176">
          <cell r="A176" t="str">
            <v>ZWE</v>
          </cell>
          <cell r="B176">
            <v>0.32463999999999998</v>
          </cell>
        </row>
        <row r="177">
          <cell r="A177" t="str">
            <v>Total</v>
          </cell>
          <cell r="B177">
            <v>2212.8436499999998</v>
          </cell>
        </row>
      </sheetData>
      <sheetData sheetId="18" refreshError="1"/>
      <sheetData sheetId="19">
        <row r="1">
          <cell r="B1" t="str">
            <v>geo_label</v>
          </cell>
        </row>
        <row r="2">
          <cell r="A2" t="str">
            <v>partner_label</v>
          </cell>
          <cell r="B2" t="str">
            <v>Japan</v>
          </cell>
          <cell r="C2" t="str">
            <v>United States</v>
          </cell>
        </row>
        <row r="3">
          <cell r="B3" t="str">
            <v>Sum disc</v>
          </cell>
          <cell r="C3" t="str">
            <v>Sum disc</v>
          </cell>
        </row>
        <row r="4">
          <cell r="A4" t="str">
            <v>Austria</v>
          </cell>
          <cell r="B4">
            <v>0</v>
          </cell>
          <cell r="C4">
            <v>536.25599999999997</v>
          </cell>
        </row>
        <row r="5">
          <cell r="A5" t="str">
            <v>Belgium</v>
          </cell>
          <cell r="B5">
            <v>-1170</v>
          </cell>
          <cell r="C5">
            <v>0</v>
          </cell>
        </row>
        <row r="6">
          <cell r="A6" t="str">
            <v>Bulgaria</v>
          </cell>
          <cell r="B6">
            <v>0</v>
          </cell>
          <cell r="C6">
            <v>0</v>
          </cell>
        </row>
        <row r="7">
          <cell r="A7" t="str">
            <v>Croatia</v>
          </cell>
          <cell r="B7">
            <v>0</v>
          </cell>
          <cell r="C7">
            <v>0</v>
          </cell>
        </row>
        <row r="8">
          <cell r="A8" t="str">
            <v>Cyprus</v>
          </cell>
          <cell r="B8">
            <v>0</v>
          </cell>
          <cell r="C8">
            <v>0</v>
          </cell>
        </row>
        <row r="9">
          <cell r="A9" t="str">
            <v>Czechia</v>
          </cell>
          <cell r="B9">
            <v>0</v>
          </cell>
          <cell r="C9">
            <v>178.92</v>
          </cell>
        </row>
        <row r="10">
          <cell r="A10" t="str">
            <v>Denmark</v>
          </cell>
          <cell r="B10">
            <v>0</v>
          </cell>
          <cell r="C10">
            <v>-444.024</v>
          </cell>
        </row>
        <row r="11">
          <cell r="A11" t="str">
            <v>Estonia</v>
          </cell>
          <cell r="B11">
            <v>0</v>
          </cell>
          <cell r="C11">
            <v>-15.204000000000001</v>
          </cell>
        </row>
        <row r="12">
          <cell r="A12" t="str">
            <v>European Union - 28 countries</v>
          </cell>
          <cell r="B12">
            <v>0</v>
          </cell>
          <cell r="C12">
            <v>0</v>
          </cell>
        </row>
        <row r="13">
          <cell r="A13" t="str">
            <v>Finland</v>
          </cell>
          <cell r="B13">
            <v>0</v>
          </cell>
          <cell r="C13">
            <v>6.6360000000000001</v>
          </cell>
        </row>
        <row r="14">
          <cell r="A14" t="str">
            <v>France</v>
          </cell>
          <cell r="B14">
            <v>261.10000000000002</v>
          </cell>
          <cell r="C14">
            <v>119.36399999999999</v>
          </cell>
        </row>
        <row r="15">
          <cell r="A15" t="str">
            <v>Germany (until 1990 former territory of the FRG)</v>
          </cell>
          <cell r="B15">
            <v>1097.3</v>
          </cell>
          <cell r="C15">
            <v>854.61599999999999</v>
          </cell>
        </row>
        <row r="16">
          <cell r="A16" t="str">
            <v>Greece</v>
          </cell>
          <cell r="B16">
            <v>0</v>
          </cell>
          <cell r="C16">
            <v>172.62</v>
          </cell>
        </row>
        <row r="17">
          <cell r="A17" t="str">
            <v>Hungary</v>
          </cell>
          <cell r="B17">
            <v>0</v>
          </cell>
          <cell r="C17">
            <v>390.26400000000001</v>
          </cell>
        </row>
        <row r="18">
          <cell r="A18" t="str">
            <v>Ireland</v>
          </cell>
          <cell r="B18">
            <v>0</v>
          </cell>
          <cell r="C18">
            <v>37786.644</v>
          </cell>
        </row>
        <row r="19">
          <cell r="A19" t="str">
            <v>Italy</v>
          </cell>
          <cell r="B19">
            <v>-44.7</v>
          </cell>
          <cell r="C19">
            <v>928.95600000000002</v>
          </cell>
        </row>
        <row r="20">
          <cell r="A20" t="str">
            <v>Latvia</v>
          </cell>
          <cell r="B20">
            <v>0</v>
          </cell>
          <cell r="C20">
            <v>-2.1840000000000002</v>
          </cell>
        </row>
        <row r="21">
          <cell r="A21" t="str">
            <v>Lithuania</v>
          </cell>
          <cell r="B21">
            <v>0</v>
          </cell>
          <cell r="C21">
            <v>-33.6</v>
          </cell>
        </row>
        <row r="22">
          <cell r="A22" t="str">
            <v>Luxembourg</v>
          </cell>
          <cell r="B22">
            <v>8946.7000000000007</v>
          </cell>
          <cell r="C22">
            <v>12501.132</v>
          </cell>
        </row>
        <row r="23">
          <cell r="A23" t="str">
            <v>Malta</v>
          </cell>
          <cell r="B23">
            <v>0</v>
          </cell>
          <cell r="C23">
            <v>0</v>
          </cell>
        </row>
        <row r="24">
          <cell r="A24" t="str">
            <v>Netherlands</v>
          </cell>
          <cell r="B24">
            <v>738.5</v>
          </cell>
          <cell r="C24">
            <v>54696.263999999996</v>
          </cell>
        </row>
        <row r="25">
          <cell r="A25" t="str">
            <v>Poland</v>
          </cell>
          <cell r="B25">
            <v>0</v>
          </cell>
          <cell r="C25">
            <v>845.29199999999992</v>
          </cell>
        </row>
        <row r="26">
          <cell r="A26" t="str">
            <v>Portugal</v>
          </cell>
          <cell r="B26">
            <v>0</v>
          </cell>
          <cell r="C26">
            <v>0</v>
          </cell>
        </row>
        <row r="27">
          <cell r="A27" t="str">
            <v>Romania</v>
          </cell>
          <cell r="B27">
            <v>0</v>
          </cell>
          <cell r="C27">
            <v>0</v>
          </cell>
        </row>
        <row r="28">
          <cell r="A28" t="str">
            <v>Slovakia</v>
          </cell>
          <cell r="B28">
            <v>0</v>
          </cell>
          <cell r="C28">
            <v>0</v>
          </cell>
        </row>
        <row r="29">
          <cell r="A29" t="str">
            <v>Slovenia</v>
          </cell>
          <cell r="B29">
            <v>0</v>
          </cell>
          <cell r="C29">
            <v>0</v>
          </cell>
        </row>
        <row r="30">
          <cell r="A30" t="str">
            <v>Spain</v>
          </cell>
          <cell r="B30">
            <v>1634.4</v>
          </cell>
          <cell r="C30">
            <v>0</v>
          </cell>
        </row>
        <row r="31">
          <cell r="A31" t="str">
            <v>Sweden</v>
          </cell>
          <cell r="B31">
            <v>18.7</v>
          </cell>
          <cell r="C31">
            <v>0</v>
          </cell>
        </row>
        <row r="32">
          <cell r="A32" t="str">
            <v>United Kingdom</v>
          </cell>
          <cell r="B32">
            <v>-379.9</v>
          </cell>
          <cell r="C32">
            <v>0</v>
          </cell>
        </row>
        <row r="33">
          <cell r="A33" t="str">
            <v>Total</v>
          </cell>
          <cell r="B33">
            <v>11102.1</v>
          </cell>
          <cell r="C33">
            <v>0</v>
          </cell>
        </row>
      </sheetData>
      <sheetData sheetId="20">
        <row r="1">
          <cell r="B1" t="str">
            <v>geo_label</v>
          </cell>
        </row>
        <row r="2">
          <cell r="A2" t="str">
            <v>partner_label</v>
          </cell>
          <cell r="B2" t="str">
            <v>Albania</v>
          </cell>
          <cell r="C2" t="str">
            <v>Austria</v>
          </cell>
          <cell r="D2" t="str">
            <v>Belgium</v>
          </cell>
          <cell r="E2" t="str">
            <v>Bulgaria</v>
          </cell>
          <cell r="F2" t="str">
            <v>Croatia</v>
          </cell>
          <cell r="G2" t="str">
            <v>Cyprus</v>
          </cell>
          <cell r="H2" t="str">
            <v>Czechia</v>
          </cell>
          <cell r="I2" t="str">
            <v>Denmark</v>
          </cell>
          <cell r="J2" t="str">
            <v>Estonia</v>
          </cell>
          <cell r="K2" t="str">
            <v>European Union - 27 countries (from 2020)</v>
          </cell>
          <cell r="L2" t="str">
            <v>European Union - 28 countries (2013-2020)</v>
          </cell>
          <cell r="M2" t="str">
            <v>Finland</v>
          </cell>
          <cell r="N2" t="str">
            <v>France</v>
          </cell>
          <cell r="O2" t="str">
            <v>Germany (until 1990 former territory of the FRG)</v>
          </cell>
          <cell r="P2" t="str">
            <v>Greece</v>
          </cell>
          <cell r="Q2" t="str">
            <v>Hungary</v>
          </cell>
          <cell r="R2" t="str">
            <v>Iceland</v>
          </cell>
          <cell r="S2" t="str">
            <v>Italy</v>
          </cell>
          <cell r="T2" t="str">
            <v>Japan</v>
          </cell>
          <cell r="U2" t="str">
            <v>Kosovo (under United Nations Security Council Resolution 1244/99)</v>
          </cell>
          <cell r="V2" t="str">
            <v>Latvia</v>
          </cell>
          <cell r="W2" t="str">
            <v>Lithuania</v>
          </cell>
          <cell r="X2" t="str">
            <v>Luxembourg</v>
          </cell>
          <cell r="Y2" t="str">
            <v>Malta</v>
          </cell>
          <cell r="Z2" t="str">
            <v>Montenegro</v>
          </cell>
          <cell r="AA2" t="str">
            <v>Netherlands</v>
          </cell>
          <cell r="AB2" t="str">
            <v>Norway</v>
          </cell>
          <cell r="AC2" t="str">
            <v>Poland</v>
          </cell>
          <cell r="AD2" t="str">
            <v>Portugal</v>
          </cell>
          <cell r="AE2" t="str">
            <v>Romania</v>
          </cell>
          <cell r="AF2" t="str">
            <v>Serbia</v>
          </cell>
          <cell r="AG2" t="str">
            <v>Slovakia</v>
          </cell>
          <cell r="AH2" t="str">
            <v>Slovenia</v>
          </cell>
          <cell r="AI2" t="str">
            <v>Spain</v>
          </cell>
          <cell r="AJ2" t="str">
            <v>Sweden</v>
          </cell>
          <cell r="AK2" t="str">
            <v>Switzerland</v>
          </cell>
          <cell r="AL2" t="str">
            <v>Turkey</v>
          </cell>
          <cell r="AM2" t="str">
            <v>United Kingdom</v>
          </cell>
          <cell r="AN2" t="str">
            <v>United States</v>
          </cell>
          <cell r="AO2" t="str">
            <v>Total</v>
          </cell>
        </row>
        <row r="3">
          <cell r="B3" t="str">
            <v>Sum disc</v>
          </cell>
          <cell r="C3" t="str">
            <v>Sum disc</v>
          </cell>
          <cell r="D3" t="str">
            <v>Sum disc</v>
          </cell>
          <cell r="E3" t="str">
            <v>Sum disc</v>
          </cell>
          <cell r="F3" t="str">
            <v>Sum disc</v>
          </cell>
          <cell r="G3" t="str">
            <v>Sum disc</v>
          </cell>
          <cell r="H3" t="str">
            <v>Sum disc</v>
          </cell>
          <cell r="I3" t="str">
            <v>Sum disc</v>
          </cell>
          <cell r="J3" t="str">
            <v>Sum disc</v>
          </cell>
          <cell r="K3" t="str">
            <v>Sum disc</v>
          </cell>
          <cell r="L3" t="str">
            <v>Sum disc</v>
          </cell>
          <cell r="M3" t="str">
            <v>Sum disc</v>
          </cell>
          <cell r="N3" t="str">
            <v>Sum disc</v>
          </cell>
          <cell r="O3" t="str">
            <v>Sum disc</v>
          </cell>
          <cell r="P3" t="str">
            <v>Sum disc</v>
          </cell>
          <cell r="Q3" t="str">
            <v>Sum disc</v>
          </cell>
          <cell r="R3" t="str">
            <v>Sum disc</v>
          </cell>
          <cell r="S3" t="str">
            <v>Sum disc</v>
          </cell>
          <cell r="T3" t="str">
            <v>Sum disc</v>
          </cell>
          <cell r="U3" t="str">
            <v>Sum disc</v>
          </cell>
          <cell r="V3" t="str">
            <v>Sum disc</v>
          </cell>
          <cell r="W3" t="str">
            <v>Sum disc</v>
          </cell>
          <cell r="X3" t="str">
            <v>Sum disc</v>
          </cell>
          <cell r="Y3" t="str">
            <v>Sum disc</v>
          </cell>
          <cell r="Z3" t="str">
            <v>Sum disc</v>
          </cell>
          <cell r="AA3" t="str">
            <v>Sum disc</v>
          </cell>
          <cell r="AB3" t="str">
            <v>Sum disc</v>
          </cell>
          <cell r="AC3" t="str">
            <v>Sum disc</v>
          </cell>
          <cell r="AD3" t="str">
            <v>Sum disc</v>
          </cell>
          <cell r="AE3" t="str">
            <v>Sum disc</v>
          </cell>
          <cell r="AF3" t="str">
            <v>Sum disc</v>
          </cell>
          <cell r="AG3" t="str">
            <v>Sum disc</v>
          </cell>
          <cell r="AH3" t="str">
            <v>Sum disc</v>
          </cell>
          <cell r="AI3" t="str">
            <v>Sum disc</v>
          </cell>
          <cell r="AJ3" t="str">
            <v>Sum disc</v>
          </cell>
          <cell r="AK3" t="str">
            <v>Sum disc</v>
          </cell>
          <cell r="AL3" t="str">
            <v>Sum disc</v>
          </cell>
          <cell r="AM3" t="str">
            <v>Sum disc</v>
          </cell>
          <cell r="AN3" t="str">
            <v>Sum disc</v>
          </cell>
        </row>
        <row r="4">
          <cell r="A4" t="str">
            <v>Albania</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row>
        <row r="5">
          <cell r="A5" t="str">
            <v>Austria</v>
          </cell>
          <cell r="B5">
            <v>0</v>
          </cell>
          <cell r="C5">
            <v>0</v>
          </cell>
          <cell r="D5">
            <v>0</v>
          </cell>
          <cell r="E5">
            <v>0</v>
          </cell>
          <cell r="F5">
            <v>0</v>
          </cell>
          <cell r="G5">
            <v>0</v>
          </cell>
          <cell r="H5">
            <v>0</v>
          </cell>
          <cell r="I5">
            <v>0</v>
          </cell>
          <cell r="J5">
            <v>0</v>
          </cell>
          <cell r="K5">
            <v>0</v>
          </cell>
          <cell r="L5">
            <v>608.79999999999995</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row>
        <row r="6">
          <cell r="A6" t="str">
            <v>Belgium</v>
          </cell>
          <cell r="B6">
            <v>0</v>
          </cell>
          <cell r="C6">
            <v>0</v>
          </cell>
          <cell r="D6">
            <v>0</v>
          </cell>
          <cell r="E6">
            <v>0</v>
          </cell>
          <cell r="F6">
            <v>0</v>
          </cell>
          <cell r="G6">
            <v>0</v>
          </cell>
          <cell r="H6">
            <v>-8.6</v>
          </cell>
          <cell r="I6">
            <v>37.4</v>
          </cell>
          <cell r="J6">
            <v>0</v>
          </cell>
          <cell r="K6">
            <v>-9306.2000000000007</v>
          </cell>
          <cell r="L6">
            <v>-9088.2000000000007</v>
          </cell>
          <cell r="M6">
            <v>-141</v>
          </cell>
          <cell r="N6">
            <v>-4473</v>
          </cell>
          <cell r="O6">
            <v>-400</v>
          </cell>
          <cell r="P6">
            <v>13.3</v>
          </cell>
          <cell r="Q6">
            <v>3.3</v>
          </cell>
          <cell r="R6">
            <v>0</v>
          </cell>
          <cell r="S6">
            <v>190.8</v>
          </cell>
          <cell r="T6">
            <v>-1170</v>
          </cell>
          <cell r="U6">
            <v>0</v>
          </cell>
          <cell r="V6">
            <v>0</v>
          </cell>
          <cell r="W6">
            <v>0</v>
          </cell>
          <cell r="X6">
            <v>0</v>
          </cell>
          <cell r="Y6">
            <v>35</v>
          </cell>
          <cell r="Z6">
            <v>0</v>
          </cell>
          <cell r="AA6">
            <v>-3073</v>
          </cell>
          <cell r="AB6">
            <v>0</v>
          </cell>
          <cell r="AC6">
            <v>43.2</v>
          </cell>
          <cell r="AD6">
            <v>0</v>
          </cell>
          <cell r="AE6">
            <v>0</v>
          </cell>
          <cell r="AF6">
            <v>0</v>
          </cell>
          <cell r="AG6">
            <v>0</v>
          </cell>
          <cell r="AH6">
            <v>1.2</v>
          </cell>
          <cell r="AI6">
            <v>0</v>
          </cell>
          <cell r="AJ6">
            <v>376.4</v>
          </cell>
          <cell r="AK6">
            <v>0</v>
          </cell>
          <cell r="AL6">
            <v>0</v>
          </cell>
          <cell r="AM6">
            <v>218</v>
          </cell>
          <cell r="AN6">
            <v>0</v>
          </cell>
        </row>
        <row r="7">
          <cell r="A7" t="str">
            <v>Bulgaria</v>
          </cell>
          <cell r="B7">
            <v>0</v>
          </cell>
          <cell r="C7">
            <v>0</v>
          </cell>
          <cell r="D7">
            <v>-29.8</v>
          </cell>
          <cell r="E7">
            <v>0</v>
          </cell>
          <cell r="F7">
            <v>5.9</v>
          </cell>
          <cell r="G7">
            <v>0</v>
          </cell>
          <cell r="H7">
            <v>24.5</v>
          </cell>
          <cell r="I7">
            <v>4.8</v>
          </cell>
          <cell r="J7">
            <v>0.6</v>
          </cell>
          <cell r="K7">
            <v>72.400000000000006</v>
          </cell>
          <cell r="L7">
            <v>59.8</v>
          </cell>
          <cell r="M7">
            <v>-6.4</v>
          </cell>
          <cell r="N7">
            <v>0</v>
          </cell>
          <cell r="O7">
            <v>40</v>
          </cell>
          <cell r="P7">
            <v>-57</v>
          </cell>
          <cell r="Q7">
            <v>26.3</v>
          </cell>
          <cell r="R7">
            <v>0</v>
          </cell>
          <cell r="S7">
            <v>-14.6</v>
          </cell>
          <cell r="T7">
            <v>0</v>
          </cell>
          <cell r="U7">
            <v>0</v>
          </cell>
          <cell r="V7">
            <v>-0.3</v>
          </cell>
          <cell r="W7">
            <v>2.5</v>
          </cell>
          <cell r="X7">
            <v>0</v>
          </cell>
          <cell r="Y7">
            <v>0</v>
          </cell>
          <cell r="Z7">
            <v>0</v>
          </cell>
          <cell r="AA7">
            <v>-154.1</v>
          </cell>
          <cell r="AB7">
            <v>0</v>
          </cell>
          <cell r="AC7">
            <v>12.8</v>
          </cell>
          <cell r="AD7">
            <v>-0.6</v>
          </cell>
          <cell r="AE7">
            <v>0</v>
          </cell>
          <cell r="AF7">
            <v>0</v>
          </cell>
          <cell r="AG7">
            <v>-0.1</v>
          </cell>
          <cell r="AH7">
            <v>-0.5</v>
          </cell>
          <cell r="AI7">
            <v>0</v>
          </cell>
          <cell r="AJ7">
            <v>32.200000000000003</v>
          </cell>
          <cell r="AK7">
            <v>0</v>
          </cell>
          <cell r="AL7">
            <v>0</v>
          </cell>
          <cell r="AM7">
            <v>-12.5</v>
          </cell>
          <cell r="AN7">
            <v>0</v>
          </cell>
        </row>
        <row r="8">
          <cell r="A8" t="str">
            <v>Croatia</v>
          </cell>
          <cell r="B8">
            <v>0</v>
          </cell>
          <cell r="C8">
            <v>0</v>
          </cell>
          <cell r="D8">
            <v>0</v>
          </cell>
          <cell r="E8">
            <v>0.1</v>
          </cell>
          <cell r="F8">
            <v>0</v>
          </cell>
          <cell r="G8">
            <v>5.0999999999999996</v>
          </cell>
          <cell r="H8">
            <v>-33.4</v>
          </cell>
          <cell r="I8">
            <v>6.9</v>
          </cell>
          <cell r="J8">
            <v>1.4</v>
          </cell>
          <cell r="K8">
            <v>-345.3</v>
          </cell>
          <cell r="L8">
            <v>0</v>
          </cell>
          <cell r="M8">
            <v>-2.2999999999999998</v>
          </cell>
          <cell r="N8">
            <v>0</v>
          </cell>
          <cell r="O8">
            <v>-12.3</v>
          </cell>
          <cell r="P8">
            <v>-2.7</v>
          </cell>
          <cell r="Q8">
            <v>7.4</v>
          </cell>
          <cell r="R8">
            <v>0</v>
          </cell>
          <cell r="S8">
            <v>-40.700000000000003</v>
          </cell>
          <cell r="T8">
            <v>0</v>
          </cell>
          <cell r="U8">
            <v>0</v>
          </cell>
          <cell r="V8">
            <v>0</v>
          </cell>
          <cell r="W8">
            <v>0</v>
          </cell>
          <cell r="X8">
            <v>0</v>
          </cell>
          <cell r="Y8">
            <v>0</v>
          </cell>
          <cell r="Z8">
            <v>0</v>
          </cell>
          <cell r="AA8">
            <v>-104.7</v>
          </cell>
          <cell r="AB8">
            <v>0</v>
          </cell>
          <cell r="AC8">
            <v>8.1</v>
          </cell>
          <cell r="AD8">
            <v>0</v>
          </cell>
          <cell r="AE8">
            <v>0</v>
          </cell>
          <cell r="AF8">
            <v>0</v>
          </cell>
          <cell r="AG8">
            <v>0.3</v>
          </cell>
          <cell r="AH8">
            <v>10.5</v>
          </cell>
          <cell r="AI8">
            <v>0</v>
          </cell>
          <cell r="AJ8">
            <v>-14.7</v>
          </cell>
          <cell r="AK8">
            <v>0</v>
          </cell>
          <cell r="AL8">
            <v>0</v>
          </cell>
          <cell r="AM8">
            <v>0</v>
          </cell>
          <cell r="AN8">
            <v>0</v>
          </cell>
        </row>
        <row r="9">
          <cell r="A9" t="str">
            <v>Cyprus</v>
          </cell>
          <cell r="B9">
            <v>0</v>
          </cell>
          <cell r="C9">
            <v>0</v>
          </cell>
          <cell r="D9">
            <v>0</v>
          </cell>
          <cell r="E9">
            <v>0</v>
          </cell>
          <cell r="F9">
            <v>0</v>
          </cell>
          <cell r="G9">
            <v>0</v>
          </cell>
          <cell r="H9">
            <v>0</v>
          </cell>
          <cell r="I9">
            <v>17.3</v>
          </cell>
          <cell r="J9">
            <v>0</v>
          </cell>
          <cell r="K9">
            <v>2029.1</v>
          </cell>
          <cell r="L9">
            <v>0</v>
          </cell>
          <cell r="M9">
            <v>2</v>
          </cell>
          <cell r="N9">
            <v>0</v>
          </cell>
          <cell r="O9">
            <v>71</v>
          </cell>
          <cell r="P9">
            <v>109.1</v>
          </cell>
          <cell r="Q9">
            <v>0</v>
          </cell>
          <cell r="R9">
            <v>0</v>
          </cell>
          <cell r="S9">
            <v>0</v>
          </cell>
          <cell r="T9">
            <v>0</v>
          </cell>
          <cell r="U9">
            <v>0</v>
          </cell>
          <cell r="V9">
            <v>0</v>
          </cell>
          <cell r="W9">
            <v>41.6</v>
          </cell>
          <cell r="X9">
            <v>0</v>
          </cell>
          <cell r="Y9">
            <v>0</v>
          </cell>
          <cell r="Z9">
            <v>0</v>
          </cell>
          <cell r="AA9">
            <v>0</v>
          </cell>
          <cell r="AB9">
            <v>0</v>
          </cell>
          <cell r="AC9">
            <v>0</v>
          </cell>
          <cell r="AD9">
            <v>0.1</v>
          </cell>
          <cell r="AE9">
            <v>0</v>
          </cell>
          <cell r="AF9">
            <v>0</v>
          </cell>
          <cell r="AG9">
            <v>0</v>
          </cell>
          <cell r="AH9">
            <v>0.6</v>
          </cell>
          <cell r="AI9">
            <v>0</v>
          </cell>
          <cell r="AJ9">
            <v>0</v>
          </cell>
          <cell r="AK9">
            <v>0</v>
          </cell>
          <cell r="AL9">
            <v>0</v>
          </cell>
          <cell r="AM9">
            <v>0</v>
          </cell>
          <cell r="AN9">
            <v>0</v>
          </cell>
        </row>
        <row r="10">
          <cell r="A10" t="str">
            <v>Czechia</v>
          </cell>
          <cell r="B10">
            <v>0</v>
          </cell>
          <cell r="C10">
            <v>0</v>
          </cell>
          <cell r="D10">
            <v>-446.1</v>
          </cell>
          <cell r="E10">
            <v>0.6</v>
          </cell>
          <cell r="F10">
            <v>-3.4</v>
          </cell>
          <cell r="G10">
            <v>-411.7</v>
          </cell>
          <cell r="H10">
            <v>0</v>
          </cell>
          <cell r="I10">
            <v>0.3</v>
          </cell>
          <cell r="J10">
            <v>-1</v>
          </cell>
          <cell r="K10">
            <v>0</v>
          </cell>
          <cell r="L10">
            <v>0</v>
          </cell>
          <cell r="M10">
            <v>-19.2</v>
          </cell>
          <cell r="N10">
            <v>-7.9</v>
          </cell>
          <cell r="O10">
            <v>-1177.7</v>
          </cell>
          <cell r="P10">
            <v>0</v>
          </cell>
          <cell r="Q10">
            <v>-59.5</v>
          </cell>
          <cell r="R10">
            <v>0</v>
          </cell>
          <cell r="S10">
            <v>-172</v>
          </cell>
          <cell r="T10">
            <v>0</v>
          </cell>
          <cell r="U10">
            <v>0</v>
          </cell>
          <cell r="V10">
            <v>-4.7</v>
          </cell>
          <cell r="W10">
            <v>-0.7</v>
          </cell>
          <cell r="X10">
            <v>0</v>
          </cell>
          <cell r="Y10">
            <v>0</v>
          </cell>
          <cell r="Z10">
            <v>0</v>
          </cell>
          <cell r="AA10">
            <v>-1389.1</v>
          </cell>
          <cell r="AB10">
            <v>0</v>
          </cell>
          <cell r="AC10">
            <v>-106.4</v>
          </cell>
          <cell r="AD10">
            <v>0</v>
          </cell>
          <cell r="AE10">
            <v>-7.8</v>
          </cell>
          <cell r="AF10">
            <v>0</v>
          </cell>
          <cell r="AG10">
            <v>-149.5</v>
          </cell>
          <cell r="AH10">
            <v>3</v>
          </cell>
          <cell r="AI10">
            <v>0</v>
          </cell>
          <cell r="AJ10">
            <v>47.5</v>
          </cell>
          <cell r="AK10">
            <v>0</v>
          </cell>
          <cell r="AL10">
            <v>0</v>
          </cell>
          <cell r="AM10">
            <v>-174.7</v>
          </cell>
          <cell r="AN10">
            <v>0</v>
          </cell>
        </row>
        <row r="11">
          <cell r="A11" t="str">
            <v>Denmark</v>
          </cell>
          <cell r="B11">
            <v>0</v>
          </cell>
          <cell r="C11">
            <v>0</v>
          </cell>
          <cell r="D11">
            <v>8.4</v>
          </cell>
          <cell r="E11">
            <v>0</v>
          </cell>
          <cell r="F11">
            <v>0</v>
          </cell>
          <cell r="G11">
            <v>0</v>
          </cell>
          <cell r="H11">
            <v>0.2</v>
          </cell>
          <cell r="I11">
            <v>0</v>
          </cell>
          <cell r="J11">
            <v>-0.2</v>
          </cell>
          <cell r="K11">
            <v>154.69999999999999</v>
          </cell>
          <cell r="L11">
            <v>-39.6</v>
          </cell>
          <cell r="M11">
            <v>-154.69999999999999</v>
          </cell>
          <cell r="N11">
            <v>0</v>
          </cell>
          <cell r="O11">
            <v>34.299999999999997</v>
          </cell>
          <cell r="P11">
            <v>0.3</v>
          </cell>
          <cell r="Q11">
            <v>0</v>
          </cell>
          <cell r="R11">
            <v>0</v>
          </cell>
          <cell r="S11">
            <v>-13.3</v>
          </cell>
          <cell r="T11">
            <v>0</v>
          </cell>
          <cell r="U11">
            <v>0</v>
          </cell>
          <cell r="V11">
            <v>0</v>
          </cell>
          <cell r="W11">
            <v>-6.4</v>
          </cell>
          <cell r="X11">
            <v>0</v>
          </cell>
          <cell r="Y11">
            <v>-26.4</v>
          </cell>
          <cell r="Z11">
            <v>0</v>
          </cell>
          <cell r="AA11">
            <v>-72.099999999999994</v>
          </cell>
          <cell r="AB11">
            <v>0</v>
          </cell>
          <cell r="AC11">
            <v>-32</v>
          </cell>
          <cell r="AD11">
            <v>0.3</v>
          </cell>
          <cell r="AE11">
            <v>0</v>
          </cell>
          <cell r="AF11">
            <v>0</v>
          </cell>
          <cell r="AG11">
            <v>1.6</v>
          </cell>
          <cell r="AH11">
            <v>1</v>
          </cell>
          <cell r="AI11">
            <v>0</v>
          </cell>
          <cell r="AJ11">
            <v>722.7</v>
          </cell>
          <cell r="AK11">
            <v>0</v>
          </cell>
          <cell r="AL11">
            <v>0</v>
          </cell>
          <cell r="AM11">
            <v>-194.3</v>
          </cell>
          <cell r="AN11">
            <v>0</v>
          </cell>
        </row>
        <row r="12">
          <cell r="A12" t="str">
            <v>Estonia</v>
          </cell>
          <cell r="B12">
            <v>0</v>
          </cell>
          <cell r="C12">
            <v>0</v>
          </cell>
          <cell r="D12">
            <v>-9.1</v>
          </cell>
          <cell r="E12">
            <v>-0.6</v>
          </cell>
          <cell r="F12">
            <v>-0.1</v>
          </cell>
          <cell r="G12">
            <v>0</v>
          </cell>
          <cell r="H12">
            <v>-2.6</v>
          </cell>
          <cell r="I12">
            <v>25.6</v>
          </cell>
          <cell r="J12">
            <v>0</v>
          </cell>
          <cell r="K12">
            <v>-264.8</v>
          </cell>
          <cell r="L12">
            <v>-345.2</v>
          </cell>
          <cell r="M12">
            <v>-46.2</v>
          </cell>
          <cell r="N12">
            <v>0</v>
          </cell>
          <cell r="O12">
            <v>-39.299999999999997</v>
          </cell>
          <cell r="P12">
            <v>1.4</v>
          </cell>
          <cell r="Q12">
            <v>-2.6</v>
          </cell>
          <cell r="R12">
            <v>0</v>
          </cell>
          <cell r="S12">
            <v>-3.7</v>
          </cell>
          <cell r="T12">
            <v>0</v>
          </cell>
          <cell r="U12">
            <v>0</v>
          </cell>
          <cell r="V12">
            <v>-24.3</v>
          </cell>
          <cell r="W12">
            <v>34.4</v>
          </cell>
          <cell r="X12">
            <v>0</v>
          </cell>
          <cell r="Y12">
            <v>0</v>
          </cell>
          <cell r="Z12">
            <v>0</v>
          </cell>
          <cell r="AA12">
            <v>-88.5</v>
          </cell>
          <cell r="AB12">
            <v>0</v>
          </cell>
          <cell r="AC12">
            <v>-9</v>
          </cell>
          <cell r="AD12">
            <v>2.9</v>
          </cell>
          <cell r="AE12">
            <v>-1.4</v>
          </cell>
          <cell r="AF12">
            <v>0</v>
          </cell>
          <cell r="AG12">
            <v>-2.9</v>
          </cell>
          <cell r="AH12">
            <v>-0.3</v>
          </cell>
          <cell r="AI12">
            <v>0</v>
          </cell>
          <cell r="AJ12">
            <v>11.9</v>
          </cell>
          <cell r="AK12">
            <v>0</v>
          </cell>
          <cell r="AL12">
            <v>0</v>
          </cell>
          <cell r="AM12">
            <v>-80.3</v>
          </cell>
          <cell r="AN12">
            <v>0</v>
          </cell>
        </row>
        <row r="13">
          <cell r="A13" t="str">
            <v>European Union - 27 countries (from 2020)</v>
          </cell>
          <cell r="B13">
            <v>0</v>
          </cell>
          <cell r="C13">
            <v>0</v>
          </cell>
          <cell r="D13">
            <v>0</v>
          </cell>
          <cell r="E13">
            <v>-46.2</v>
          </cell>
          <cell r="F13">
            <v>-91.5</v>
          </cell>
          <cell r="G13">
            <v>0</v>
          </cell>
          <cell r="H13">
            <v>960</v>
          </cell>
          <cell r="I13">
            <v>1132.8</v>
          </cell>
          <cell r="J13">
            <v>146.5</v>
          </cell>
          <cell r="K13">
            <v>-37264.300000000003</v>
          </cell>
          <cell r="L13">
            <v>0</v>
          </cell>
          <cell r="M13">
            <v>1581.8</v>
          </cell>
          <cell r="N13">
            <v>0</v>
          </cell>
          <cell r="O13">
            <v>2819.7</v>
          </cell>
          <cell r="P13">
            <v>10.6</v>
          </cell>
          <cell r="Q13">
            <v>330.8</v>
          </cell>
          <cell r="R13">
            <v>0</v>
          </cell>
          <cell r="S13">
            <v>2288.1</v>
          </cell>
          <cell r="T13">
            <v>1710.8</v>
          </cell>
          <cell r="U13">
            <v>0</v>
          </cell>
          <cell r="V13">
            <v>0</v>
          </cell>
          <cell r="W13">
            <v>54.6</v>
          </cell>
          <cell r="X13">
            <v>-38696.1</v>
          </cell>
          <cell r="Y13">
            <v>-1060.5</v>
          </cell>
          <cell r="Z13">
            <v>0</v>
          </cell>
          <cell r="AA13">
            <v>-6805.6</v>
          </cell>
          <cell r="AB13">
            <v>0</v>
          </cell>
          <cell r="AC13">
            <v>703</v>
          </cell>
          <cell r="AD13">
            <v>895.1</v>
          </cell>
          <cell r="AE13">
            <v>0</v>
          </cell>
          <cell r="AF13">
            <v>0</v>
          </cell>
          <cell r="AG13">
            <v>-194.1</v>
          </cell>
          <cell r="AH13">
            <v>20.3</v>
          </cell>
          <cell r="AI13">
            <v>0</v>
          </cell>
          <cell r="AJ13">
            <v>4780.1000000000004</v>
          </cell>
          <cell r="AK13">
            <v>0</v>
          </cell>
          <cell r="AL13">
            <v>0</v>
          </cell>
          <cell r="AM13">
            <v>0</v>
          </cell>
          <cell r="AN13">
            <v>0</v>
          </cell>
        </row>
        <row r="14">
          <cell r="A14" t="str">
            <v>European Union - 28 countries (2013-2020)</v>
          </cell>
          <cell r="B14">
            <v>0</v>
          </cell>
          <cell r="C14">
            <v>-1357</v>
          </cell>
          <cell r="D14">
            <v>10369.6</v>
          </cell>
          <cell r="E14">
            <v>-44.1</v>
          </cell>
          <cell r="F14">
            <v>0</v>
          </cell>
          <cell r="G14">
            <v>-3113.1</v>
          </cell>
          <cell r="H14">
            <v>0</v>
          </cell>
          <cell r="I14">
            <v>1914.7</v>
          </cell>
          <cell r="J14">
            <v>148.4</v>
          </cell>
          <cell r="K14">
            <v>0</v>
          </cell>
          <cell r="L14">
            <v>-37768.699999999997</v>
          </cell>
          <cell r="M14">
            <v>1674.9</v>
          </cell>
          <cell r="N14">
            <v>-3334.8</v>
          </cell>
          <cell r="O14">
            <v>-3148.4</v>
          </cell>
          <cell r="P14">
            <v>12.8</v>
          </cell>
          <cell r="Q14">
            <v>356</v>
          </cell>
          <cell r="R14">
            <v>0</v>
          </cell>
          <cell r="S14">
            <v>2513.8000000000002</v>
          </cell>
          <cell r="T14">
            <v>1330.9</v>
          </cell>
          <cell r="U14">
            <v>0</v>
          </cell>
          <cell r="V14">
            <v>-55.9</v>
          </cell>
          <cell r="W14">
            <v>54.3</v>
          </cell>
          <cell r="X14">
            <v>-32229.1</v>
          </cell>
          <cell r="Y14">
            <v>-1085.5999999999999</v>
          </cell>
          <cell r="Z14">
            <v>0</v>
          </cell>
          <cell r="AA14">
            <v>2012.7</v>
          </cell>
          <cell r="AB14">
            <v>0</v>
          </cell>
          <cell r="AC14">
            <v>734.4</v>
          </cell>
          <cell r="AD14">
            <v>919.8</v>
          </cell>
          <cell r="AE14">
            <v>0</v>
          </cell>
          <cell r="AF14">
            <v>0</v>
          </cell>
          <cell r="AG14">
            <v>-196.7</v>
          </cell>
          <cell r="AH14">
            <v>22.3</v>
          </cell>
          <cell r="AI14">
            <v>-4087.3</v>
          </cell>
          <cell r="AJ14">
            <v>5130.2</v>
          </cell>
          <cell r="AK14">
            <v>0</v>
          </cell>
          <cell r="AL14">
            <v>0</v>
          </cell>
          <cell r="AM14">
            <v>-20060.900000000001</v>
          </cell>
          <cell r="AN14">
            <v>0</v>
          </cell>
        </row>
        <row r="15">
          <cell r="A15" t="str">
            <v>Finland</v>
          </cell>
          <cell r="B15">
            <v>0</v>
          </cell>
          <cell r="C15">
            <v>0</v>
          </cell>
          <cell r="D15">
            <v>18</v>
          </cell>
          <cell r="E15">
            <v>0</v>
          </cell>
          <cell r="F15">
            <v>1.8</v>
          </cell>
          <cell r="G15">
            <v>-36</v>
          </cell>
          <cell r="H15">
            <v>4.5999999999999996</v>
          </cell>
          <cell r="I15">
            <v>-242.4</v>
          </cell>
          <cell r="J15">
            <v>129.30000000000001</v>
          </cell>
          <cell r="K15">
            <v>-385.1</v>
          </cell>
          <cell r="L15">
            <v>-464.8</v>
          </cell>
          <cell r="M15">
            <v>0</v>
          </cell>
          <cell r="N15">
            <v>0</v>
          </cell>
          <cell r="O15">
            <v>110</v>
          </cell>
          <cell r="P15">
            <v>-0.6</v>
          </cell>
          <cell r="Q15">
            <v>-1.1000000000000001</v>
          </cell>
          <cell r="R15">
            <v>0</v>
          </cell>
          <cell r="S15">
            <v>-77.900000000000006</v>
          </cell>
          <cell r="T15">
            <v>0</v>
          </cell>
          <cell r="U15">
            <v>0</v>
          </cell>
          <cell r="V15">
            <v>-1</v>
          </cell>
          <cell r="W15">
            <v>-0.3</v>
          </cell>
          <cell r="X15">
            <v>0</v>
          </cell>
          <cell r="Y15">
            <v>-22.3</v>
          </cell>
          <cell r="Z15">
            <v>0</v>
          </cell>
          <cell r="AA15">
            <v>-411</v>
          </cell>
          <cell r="AB15">
            <v>0</v>
          </cell>
          <cell r="AC15">
            <v>0.6</v>
          </cell>
          <cell r="AD15">
            <v>0</v>
          </cell>
          <cell r="AE15">
            <v>0</v>
          </cell>
          <cell r="AF15">
            <v>0</v>
          </cell>
          <cell r="AG15">
            <v>-2</v>
          </cell>
          <cell r="AH15">
            <v>0.1</v>
          </cell>
          <cell r="AI15">
            <v>0</v>
          </cell>
          <cell r="AJ15">
            <v>152.19999999999999</v>
          </cell>
          <cell r="AK15">
            <v>0</v>
          </cell>
          <cell r="AL15">
            <v>0</v>
          </cell>
          <cell r="AM15">
            <v>-79.7</v>
          </cell>
          <cell r="AN15">
            <v>0</v>
          </cell>
        </row>
        <row r="16">
          <cell r="A16" t="str">
            <v>France</v>
          </cell>
          <cell r="B16">
            <v>0</v>
          </cell>
          <cell r="C16">
            <v>0</v>
          </cell>
          <cell r="D16">
            <v>-242</v>
          </cell>
          <cell r="E16">
            <v>0</v>
          </cell>
          <cell r="F16">
            <v>0</v>
          </cell>
          <cell r="G16">
            <v>0</v>
          </cell>
          <cell r="H16">
            <v>7.6</v>
          </cell>
          <cell r="I16">
            <v>0</v>
          </cell>
          <cell r="J16">
            <v>0</v>
          </cell>
          <cell r="K16">
            <v>0</v>
          </cell>
          <cell r="L16">
            <v>-1618.5</v>
          </cell>
          <cell r="M16">
            <v>0</v>
          </cell>
          <cell r="N16">
            <v>0</v>
          </cell>
          <cell r="O16">
            <v>888</v>
          </cell>
          <cell r="P16">
            <v>0</v>
          </cell>
          <cell r="Q16">
            <v>0</v>
          </cell>
          <cell r="R16">
            <v>0</v>
          </cell>
          <cell r="S16">
            <v>762.1</v>
          </cell>
          <cell r="T16">
            <v>261.10000000000002</v>
          </cell>
          <cell r="U16">
            <v>0</v>
          </cell>
          <cell r="V16">
            <v>0</v>
          </cell>
          <cell r="W16">
            <v>0</v>
          </cell>
          <cell r="X16">
            <v>0</v>
          </cell>
          <cell r="Y16">
            <v>0</v>
          </cell>
          <cell r="Z16">
            <v>0</v>
          </cell>
          <cell r="AA16">
            <v>268</v>
          </cell>
          <cell r="AB16">
            <v>0</v>
          </cell>
          <cell r="AC16">
            <v>86.1</v>
          </cell>
          <cell r="AD16">
            <v>0</v>
          </cell>
          <cell r="AE16">
            <v>2.4</v>
          </cell>
          <cell r="AF16">
            <v>0</v>
          </cell>
          <cell r="AG16">
            <v>0</v>
          </cell>
          <cell r="AH16">
            <v>0</v>
          </cell>
          <cell r="AI16">
            <v>0</v>
          </cell>
          <cell r="AJ16">
            <v>206.2</v>
          </cell>
          <cell r="AK16">
            <v>0</v>
          </cell>
          <cell r="AL16">
            <v>0</v>
          </cell>
          <cell r="AM16">
            <v>-807.7</v>
          </cell>
          <cell r="AN16">
            <v>0</v>
          </cell>
        </row>
        <row r="17">
          <cell r="A17" t="str">
            <v>Germany (until 1990 former territory of the FRG)</v>
          </cell>
          <cell r="B17">
            <v>0</v>
          </cell>
          <cell r="C17">
            <v>0</v>
          </cell>
          <cell r="D17">
            <v>282</v>
          </cell>
          <cell r="E17">
            <v>-16.7</v>
          </cell>
          <cell r="F17">
            <v>-15.9</v>
          </cell>
          <cell r="G17">
            <v>0</v>
          </cell>
          <cell r="H17">
            <v>-205.8</v>
          </cell>
          <cell r="I17">
            <v>496.9</v>
          </cell>
          <cell r="J17">
            <v>-1.3</v>
          </cell>
          <cell r="K17">
            <v>1170.2</v>
          </cell>
          <cell r="L17">
            <v>3270.9</v>
          </cell>
          <cell r="M17">
            <v>-79</v>
          </cell>
          <cell r="N17">
            <v>875</v>
          </cell>
          <cell r="O17">
            <v>0</v>
          </cell>
          <cell r="P17">
            <v>16.3</v>
          </cell>
          <cell r="Q17">
            <v>-3.8</v>
          </cell>
          <cell r="R17">
            <v>0</v>
          </cell>
          <cell r="S17">
            <v>-1118.9000000000001</v>
          </cell>
          <cell r="T17">
            <v>1097.3</v>
          </cell>
          <cell r="U17">
            <v>0</v>
          </cell>
          <cell r="V17">
            <v>1</v>
          </cell>
          <cell r="W17">
            <v>-0.5</v>
          </cell>
          <cell r="X17">
            <v>0</v>
          </cell>
          <cell r="Y17">
            <v>0</v>
          </cell>
          <cell r="Z17">
            <v>0</v>
          </cell>
          <cell r="AA17">
            <v>1748</v>
          </cell>
          <cell r="AB17">
            <v>0</v>
          </cell>
          <cell r="AC17">
            <v>-37.799999999999997</v>
          </cell>
          <cell r="AD17">
            <v>0</v>
          </cell>
          <cell r="AE17">
            <v>-18</v>
          </cell>
          <cell r="AF17">
            <v>0</v>
          </cell>
          <cell r="AG17">
            <v>-8.6999999999999993</v>
          </cell>
          <cell r="AH17">
            <v>-24.4</v>
          </cell>
          <cell r="AI17">
            <v>0</v>
          </cell>
          <cell r="AJ17">
            <v>522.29999999999995</v>
          </cell>
          <cell r="AK17">
            <v>0</v>
          </cell>
          <cell r="AL17">
            <v>0</v>
          </cell>
          <cell r="AM17">
            <v>2100.6999999999998</v>
          </cell>
          <cell r="AN17">
            <v>0</v>
          </cell>
        </row>
        <row r="18">
          <cell r="A18" t="str">
            <v>Greece</v>
          </cell>
          <cell r="B18">
            <v>0</v>
          </cell>
          <cell r="C18">
            <v>0</v>
          </cell>
          <cell r="D18">
            <v>0</v>
          </cell>
          <cell r="E18">
            <v>0.7</v>
          </cell>
          <cell r="F18">
            <v>0</v>
          </cell>
          <cell r="G18">
            <v>-118.1</v>
          </cell>
          <cell r="H18">
            <v>0.2</v>
          </cell>
          <cell r="I18">
            <v>14.9</v>
          </cell>
          <cell r="J18">
            <v>0</v>
          </cell>
          <cell r="K18">
            <v>-178.6</v>
          </cell>
          <cell r="L18">
            <v>-28.9</v>
          </cell>
          <cell r="M18">
            <v>-4.8</v>
          </cell>
          <cell r="N18">
            <v>0</v>
          </cell>
          <cell r="O18">
            <v>130.19999999999999</v>
          </cell>
          <cell r="P18">
            <v>0</v>
          </cell>
          <cell r="Q18">
            <v>-0.3</v>
          </cell>
          <cell r="R18">
            <v>0</v>
          </cell>
          <cell r="S18">
            <v>16.5</v>
          </cell>
          <cell r="T18">
            <v>0</v>
          </cell>
          <cell r="U18">
            <v>0</v>
          </cell>
          <cell r="V18">
            <v>0</v>
          </cell>
          <cell r="W18">
            <v>0</v>
          </cell>
          <cell r="X18">
            <v>0</v>
          </cell>
          <cell r="Y18">
            <v>0</v>
          </cell>
          <cell r="Z18">
            <v>0</v>
          </cell>
          <cell r="AA18">
            <v>17.899999999999999</v>
          </cell>
          <cell r="AB18">
            <v>0</v>
          </cell>
          <cell r="AC18">
            <v>-0.1</v>
          </cell>
          <cell r="AD18">
            <v>-0.9</v>
          </cell>
          <cell r="AE18">
            <v>0</v>
          </cell>
          <cell r="AF18">
            <v>0</v>
          </cell>
          <cell r="AG18">
            <v>-0.1</v>
          </cell>
          <cell r="AH18">
            <v>1.2</v>
          </cell>
          <cell r="AI18">
            <v>0</v>
          </cell>
          <cell r="AJ18">
            <v>4.3</v>
          </cell>
          <cell r="AK18">
            <v>0</v>
          </cell>
          <cell r="AL18">
            <v>0</v>
          </cell>
          <cell r="AM18">
            <v>149.80000000000001</v>
          </cell>
          <cell r="AN18">
            <v>0</v>
          </cell>
        </row>
        <row r="19">
          <cell r="A19" t="str">
            <v>Hungary</v>
          </cell>
          <cell r="B19">
            <v>0</v>
          </cell>
          <cell r="C19">
            <v>0</v>
          </cell>
          <cell r="D19">
            <v>59</v>
          </cell>
          <cell r="E19">
            <v>0.7</v>
          </cell>
          <cell r="F19">
            <v>-5.2</v>
          </cell>
          <cell r="G19">
            <v>-229</v>
          </cell>
          <cell r="H19">
            <v>-13.6</v>
          </cell>
          <cell r="I19">
            <v>-74.3</v>
          </cell>
          <cell r="J19">
            <v>0.5</v>
          </cell>
          <cell r="K19">
            <v>-5171.1000000000004</v>
          </cell>
          <cell r="L19">
            <v>-5373.9</v>
          </cell>
          <cell r="M19">
            <v>-3.6</v>
          </cell>
          <cell r="N19">
            <v>0</v>
          </cell>
          <cell r="O19">
            <v>-723.9</v>
          </cell>
          <cell r="P19">
            <v>0.2</v>
          </cell>
          <cell r="Q19">
            <v>0</v>
          </cell>
          <cell r="R19">
            <v>0</v>
          </cell>
          <cell r="S19">
            <v>-14.8</v>
          </cell>
          <cell r="T19">
            <v>0</v>
          </cell>
          <cell r="U19">
            <v>0</v>
          </cell>
          <cell r="V19">
            <v>0</v>
          </cell>
          <cell r="W19">
            <v>-3.2</v>
          </cell>
          <cell r="X19">
            <v>0</v>
          </cell>
          <cell r="Y19">
            <v>0</v>
          </cell>
          <cell r="Z19">
            <v>0</v>
          </cell>
          <cell r="AA19">
            <v>-1368.1</v>
          </cell>
          <cell r="AB19">
            <v>0</v>
          </cell>
          <cell r="AC19">
            <v>191.9</v>
          </cell>
          <cell r="AD19">
            <v>0</v>
          </cell>
          <cell r="AE19">
            <v>10.5</v>
          </cell>
          <cell r="AF19">
            <v>0</v>
          </cell>
          <cell r="AG19">
            <v>-25.2</v>
          </cell>
          <cell r="AH19">
            <v>-1.1000000000000001</v>
          </cell>
          <cell r="AI19">
            <v>0</v>
          </cell>
          <cell r="AJ19">
            <v>-14.3</v>
          </cell>
          <cell r="AK19">
            <v>0</v>
          </cell>
          <cell r="AL19">
            <v>0</v>
          </cell>
          <cell r="AM19">
            <v>-202.9</v>
          </cell>
          <cell r="AN19">
            <v>0</v>
          </cell>
        </row>
        <row r="20">
          <cell r="A20" t="str">
            <v>Iceland</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A21" t="str">
            <v>Italy</v>
          </cell>
          <cell r="B21">
            <v>0</v>
          </cell>
          <cell r="C21">
            <v>0</v>
          </cell>
          <cell r="D21">
            <v>274.10000000000002</v>
          </cell>
          <cell r="E21">
            <v>-2</v>
          </cell>
          <cell r="F21">
            <v>-1.2</v>
          </cell>
          <cell r="G21">
            <v>0</v>
          </cell>
          <cell r="H21">
            <v>-32</v>
          </cell>
          <cell r="I21">
            <v>95.3</v>
          </cell>
          <cell r="J21">
            <v>2.7</v>
          </cell>
          <cell r="K21">
            <v>-1810.4</v>
          </cell>
          <cell r="L21">
            <v>-3236.5</v>
          </cell>
          <cell r="M21">
            <v>61.3</v>
          </cell>
          <cell r="N21">
            <v>-79.900000000000006</v>
          </cell>
          <cell r="O21">
            <v>918.6</v>
          </cell>
          <cell r="P21">
            <v>19.2</v>
          </cell>
          <cell r="Q21">
            <v>37.6</v>
          </cell>
          <cell r="R21">
            <v>0</v>
          </cell>
          <cell r="S21">
            <v>0</v>
          </cell>
          <cell r="T21">
            <v>-44.7</v>
          </cell>
          <cell r="U21">
            <v>0</v>
          </cell>
          <cell r="V21">
            <v>-0.1</v>
          </cell>
          <cell r="W21">
            <v>0.1</v>
          </cell>
          <cell r="X21">
            <v>0</v>
          </cell>
          <cell r="Y21">
            <v>0</v>
          </cell>
          <cell r="Z21">
            <v>0</v>
          </cell>
          <cell r="AA21">
            <v>-1726.7</v>
          </cell>
          <cell r="AB21">
            <v>0</v>
          </cell>
          <cell r="AC21">
            <v>-16.7</v>
          </cell>
          <cell r="AD21">
            <v>0</v>
          </cell>
          <cell r="AE21">
            <v>-13.1</v>
          </cell>
          <cell r="AF21">
            <v>0</v>
          </cell>
          <cell r="AG21">
            <v>0.3</v>
          </cell>
          <cell r="AH21">
            <v>1.9</v>
          </cell>
          <cell r="AI21">
            <v>0</v>
          </cell>
          <cell r="AJ21">
            <v>15</v>
          </cell>
          <cell r="AK21">
            <v>0</v>
          </cell>
          <cell r="AL21">
            <v>0</v>
          </cell>
          <cell r="AM21">
            <v>-1426.2</v>
          </cell>
          <cell r="AN21">
            <v>0</v>
          </cell>
        </row>
        <row r="22">
          <cell r="A22" t="str">
            <v>Japan</v>
          </cell>
          <cell r="B22">
            <v>0</v>
          </cell>
          <cell r="C22">
            <v>0</v>
          </cell>
          <cell r="D22">
            <v>66.7</v>
          </cell>
          <cell r="E22">
            <v>0</v>
          </cell>
          <cell r="F22">
            <v>0</v>
          </cell>
          <cell r="G22">
            <v>0</v>
          </cell>
          <cell r="H22">
            <v>0</v>
          </cell>
          <cell r="I22">
            <v>0</v>
          </cell>
          <cell r="J22">
            <v>0</v>
          </cell>
          <cell r="K22">
            <v>-3562.7</v>
          </cell>
          <cell r="L22">
            <v>-3913.8</v>
          </cell>
          <cell r="M22">
            <v>0</v>
          </cell>
          <cell r="N22">
            <v>-1436.8</v>
          </cell>
          <cell r="O22">
            <v>-962.1</v>
          </cell>
          <cell r="P22">
            <v>0</v>
          </cell>
          <cell r="Q22">
            <v>0</v>
          </cell>
          <cell r="R22">
            <v>0</v>
          </cell>
          <cell r="S22">
            <v>33.299999999999997</v>
          </cell>
          <cell r="T22">
            <v>0</v>
          </cell>
          <cell r="U22">
            <v>0</v>
          </cell>
          <cell r="V22">
            <v>0</v>
          </cell>
          <cell r="W22">
            <v>0</v>
          </cell>
          <cell r="X22">
            <v>0</v>
          </cell>
          <cell r="Y22">
            <v>0</v>
          </cell>
          <cell r="Z22">
            <v>0</v>
          </cell>
          <cell r="AA22">
            <v>-640.20000000000005</v>
          </cell>
          <cell r="AB22">
            <v>0</v>
          </cell>
          <cell r="AC22">
            <v>0</v>
          </cell>
          <cell r="AD22">
            <v>0</v>
          </cell>
          <cell r="AE22">
            <v>0</v>
          </cell>
          <cell r="AF22">
            <v>0</v>
          </cell>
          <cell r="AG22">
            <v>0</v>
          </cell>
          <cell r="AH22">
            <v>0</v>
          </cell>
          <cell r="AI22">
            <v>0</v>
          </cell>
          <cell r="AJ22">
            <v>164.6</v>
          </cell>
          <cell r="AK22">
            <v>0</v>
          </cell>
          <cell r="AL22">
            <v>0</v>
          </cell>
          <cell r="AM22">
            <v>-351.1</v>
          </cell>
          <cell r="AN22">
            <v>0</v>
          </cell>
        </row>
        <row r="23">
          <cell r="A23" t="str">
            <v>Kosovo (under United Nations Security Council Resolution 1244/99)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A24" t="str">
            <v>Latvia</v>
          </cell>
          <cell r="B24">
            <v>0</v>
          </cell>
          <cell r="C24">
            <v>0</v>
          </cell>
          <cell r="D24">
            <v>0</v>
          </cell>
          <cell r="E24">
            <v>0.9</v>
          </cell>
          <cell r="F24">
            <v>0</v>
          </cell>
          <cell r="G24">
            <v>-165</v>
          </cell>
          <cell r="H24">
            <v>-2</v>
          </cell>
          <cell r="I24">
            <v>1.4</v>
          </cell>
          <cell r="J24">
            <v>-21.5</v>
          </cell>
          <cell r="K24">
            <v>-282.10000000000002</v>
          </cell>
          <cell r="L24">
            <v>0</v>
          </cell>
          <cell r="M24">
            <v>-12</v>
          </cell>
          <cell r="N24">
            <v>0</v>
          </cell>
          <cell r="O24">
            <v>8</v>
          </cell>
          <cell r="P24">
            <v>0.1</v>
          </cell>
          <cell r="Q24">
            <v>-1.9</v>
          </cell>
          <cell r="R24">
            <v>0</v>
          </cell>
          <cell r="S24">
            <v>-2.5</v>
          </cell>
          <cell r="T24">
            <v>0</v>
          </cell>
          <cell r="U24">
            <v>0</v>
          </cell>
          <cell r="V24">
            <v>0</v>
          </cell>
          <cell r="W24">
            <v>5</v>
          </cell>
          <cell r="X24">
            <v>0</v>
          </cell>
          <cell r="Y24">
            <v>0</v>
          </cell>
          <cell r="Z24">
            <v>0</v>
          </cell>
          <cell r="AA24">
            <v>-6</v>
          </cell>
          <cell r="AB24">
            <v>0</v>
          </cell>
          <cell r="AC24">
            <v>1.5</v>
          </cell>
          <cell r="AD24">
            <v>0.1</v>
          </cell>
          <cell r="AE24">
            <v>0</v>
          </cell>
          <cell r="AF24">
            <v>0</v>
          </cell>
          <cell r="AG24">
            <v>0</v>
          </cell>
          <cell r="AH24">
            <v>0.1</v>
          </cell>
          <cell r="AI24">
            <v>0</v>
          </cell>
          <cell r="AJ24">
            <v>35.799999999999997</v>
          </cell>
          <cell r="AK24">
            <v>0</v>
          </cell>
          <cell r="AL24">
            <v>0</v>
          </cell>
          <cell r="AM24">
            <v>0</v>
          </cell>
          <cell r="AN24">
            <v>0</v>
          </cell>
        </row>
        <row r="25">
          <cell r="A25" t="str">
            <v>Lithuania</v>
          </cell>
          <cell r="B25">
            <v>0</v>
          </cell>
          <cell r="C25">
            <v>0</v>
          </cell>
          <cell r="D25">
            <v>-20.9</v>
          </cell>
          <cell r="E25">
            <v>-0.2</v>
          </cell>
          <cell r="F25">
            <v>0</v>
          </cell>
          <cell r="G25">
            <v>0</v>
          </cell>
          <cell r="H25">
            <v>2</v>
          </cell>
          <cell r="I25">
            <v>67</v>
          </cell>
          <cell r="J25">
            <v>-46.4</v>
          </cell>
          <cell r="K25">
            <v>-322.2</v>
          </cell>
          <cell r="L25">
            <v>-356.2</v>
          </cell>
          <cell r="M25">
            <v>4.8</v>
          </cell>
          <cell r="N25">
            <v>0</v>
          </cell>
          <cell r="O25">
            <v>-59.4</v>
          </cell>
          <cell r="P25">
            <v>0</v>
          </cell>
          <cell r="Q25">
            <v>-5.7</v>
          </cell>
          <cell r="R25">
            <v>0</v>
          </cell>
          <cell r="S25">
            <v>-1.8</v>
          </cell>
          <cell r="T25">
            <v>0</v>
          </cell>
          <cell r="U25">
            <v>0</v>
          </cell>
          <cell r="V25">
            <v>-9.4</v>
          </cell>
          <cell r="W25">
            <v>0</v>
          </cell>
          <cell r="X25">
            <v>0</v>
          </cell>
          <cell r="Y25">
            <v>0</v>
          </cell>
          <cell r="Z25">
            <v>0</v>
          </cell>
          <cell r="AA25">
            <v>-151.1</v>
          </cell>
          <cell r="AB25">
            <v>0</v>
          </cell>
          <cell r="AC25">
            <v>-13.8</v>
          </cell>
          <cell r="AD25">
            <v>-0.1</v>
          </cell>
          <cell r="AE25">
            <v>0</v>
          </cell>
          <cell r="AF25">
            <v>0</v>
          </cell>
          <cell r="AG25">
            <v>-0.3</v>
          </cell>
          <cell r="AH25">
            <v>0</v>
          </cell>
          <cell r="AI25">
            <v>0</v>
          </cell>
          <cell r="AJ25">
            <v>19.2</v>
          </cell>
          <cell r="AK25">
            <v>0</v>
          </cell>
          <cell r="AL25">
            <v>0</v>
          </cell>
          <cell r="AM25">
            <v>-34</v>
          </cell>
          <cell r="AN25">
            <v>0</v>
          </cell>
        </row>
        <row r="26">
          <cell r="A26" t="str">
            <v>Luxembourg</v>
          </cell>
          <cell r="B26">
            <v>0</v>
          </cell>
          <cell r="C26">
            <v>0</v>
          </cell>
          <cell r="D26">
            <v>0</v>
          </cell>
          <cell r="E26">
            <v>0</v>
          </cell>
          <cell r="F26">
            <v>0</v>
          </cell>
          <cell r="G26">
            <v>0</v>
          </cell>
          <cell r="H26">
            <v>0</v>
          </cell>
          <cell r="I26">
            <v>0</v>
          </cell>
          <cell r="J26">
            <v>0</v>
          </cell>
          <cell r="K26">
            <v>24528.3</v>
          </cell>
          <cell r="L26">
            <v>24158.5</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A27" t="str">
            <v>Malta</v>
          </cell>
          <cell r="B27">
            <v>0</v>
          </cell>
          <cell r="C27">
            <v>0</v>
          </cell>
          <cell r="D27">
            <v>0.6</v>
          </cell>
          <cell r="E27">
            <v>0</v>
          </cell>
          <cell r="F27">
            <v>0</v>
          </cell>
          <cell r="G27">
            <v>0</v>
          </cell>
          <cell r="H27">
            <v>0</v>
          </cell>
          <cell r="I27">
            <v>-411</v>
          </cell>
          <cell r="J27">
            <v>0</v>
          </cell>
          <cell r="K27">
            <v>-3739.1</v>
          </cell>
          <cell r="L27">
            <v>-4784.8999999999996</v>
          </cell>
          <cell r="M27">
            <v>0</v>
          </cell>
          <cell r="N27">
            <v>0</v>
          </cell>
          <cell r="O27">
            <v>-885.6</v>
          </cell>
          <cell r="P27">
            <v>0</v>
          </cell>
          <cell r="Q27">
            <v>0</v>
          </cell>
          <cell r="R27">
            <v>0</v>
          </cell>
          <cell r="S27">
            <v>-136.1</v>
          </cell>
          <cell r="T27">
            <v>0</v>
          </cell>
          <cell r="U27">
            <v>0</v>
          </cell>
          <cell r="V27">
            <v>0</v>
          </cell>
          <cell r="W27">
            <v>0</v>
          </cell>
          <cell r="X27">
            <v>0</v>
          </cell>
          <cell r="Y27">
            <v>0</v>
          </cell>
          <cell r="Z27">
            <v>0</v>
          </cell>
          <cell r="AA27">
            <v>-900.8</v>
          </cell>
          <cell r="AB27">
            <v>0</v>
          </cell>
          <cell r="AC27">
            <v>0</v>
          </cell>
          <cell r="AD27">
            <v>0</v>
          </cell>
          <cell r="AE27">
            <v>0</v>
          </cell>
          <cell r="AF27">
            <v>0</v>
          </cell>
          <cell r="AG27">
            <v>0</v>
          </cell>
          <cell r="AH27">
            <v>0</v>
          </cell>
          <cell r="AI27">
            <v>0</v>
          </cell>
          <cell r="AJ27">
            <v>-203.4</v>
          </cell>
          <cell r="AK27">
            <v>0</v>
          </cell>
          <cell r="AL27">
            <v>0</v>
          </cell>
          <cell r="AM27">
            <v>-1045.9000000000001</v>
          </cell>
          <cell r="AN27">
            <v>0</v>
          </cell>
        </row>
        <row r="28">
          <cell r="A28" t="str">
            <v>Montenegro</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t="str">
            <v>Netherlands</v>
          </cell>
          <cell r="B29">
            <v>0</v>
          </cell>
          <cell r="C29">
            <v>0</v>
          </cell>
          <cell r="D29">
            <v>3568</v>
          </cell>
          <cell r="E29">
            <v>3</v>
          </cell>
          <cell r="F29">
            <v>-83.8</v>
          </cell>
          <cell r="G29">
            <v>-910</v>
          </cell>
          <cell r="H29">
            <v>641.79999999999995</v>
          </cell>
          <cell r="I29">
            <v>375</v>
          </cell>
          <cell r="J29">
            <v>-2.8</v>
          </cell>
          <cell r="K29">
            <v>-19179.7</v>
          </cell>
          <cell r="L29">
            <v>-36863.1</v>
          </cell>
          <cell r="M29">
            <v>-74</v>
          </cell>
          <cell r="N29">
            <v>-1858</v>
          </cell>
          <cell r="O29">
            <v>-6013</v>
          </cell>
          <cell r="P29">
            <v>-0.9</v>
          </cell>
          <cell r="Q29">
            <v>35</v>
          </cell>
          <cell r="R29">
            <v>0</v>
          </cell>
          <cell r="S29">
            <v>960.6</v>
          </cell>
          <cell r="T29">
            <v>738.5</v>
          </cell>
          <cell r="U29">
            <v>0</v>
          </cell>
          <cell r="V29">
            <v>0</v>
          </cell>
          <cell r="W29">
            <v>-47.7</v>
          </cell>
          <cell r="X29">
            <v>0</v>
          </cell>
          <cell r="Y29">
            <v>0</v>
          </cell>
          <cell r="Z29">
            <v>0</v>
          </cell>
          <cell r="AA29">
            <v>0</v>
          </cell>
          <cell r="AB29">
            <v>0</v>
          </cell>
          <cell r="AC29">
            <v>-140.5</v>
          </cell>
          <cell r="AD29">
            <v>0</v>
          </cell>
          <cell r="AE29">
            <v>-13.3</v>
          </cell>
          <cell r="AF29">
            <v>0</v>
          </cell>
          <cell r="AG29">
            <v>-52.8</v>
          </cell>
          <cell r="AH29">
            <v>22.2</v>
          </cell>
          <cell r="AI29">
            <v>-1976</v>
          </cell>
          <cell r="AJ29">
            <v>1931.4</v>
          </cell>
          <cell r="AK29">
            <v>0</v>
          </cell>
          <cell r="AL29">
            <v>0</v>
          </cell>
          <cell r="AM29">
            <v>-17683.3</v>
          </cell>
          <cell r="AN29">
            <v>0</v>
          </cell>
        </row>
        <row r="30">
          <cell r="A30" t="str">
            <v>Norway</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t="str">
            <v>Poland</v>
          </cell>
          <cell r="B31">
            <v>0</v>
          </cell>
          <cell r="C31">
            <v>0</v>
          </cell>
          <cell r="D31">
            <v>-51</v>
          </cell>
          <cell r="E31">
            <v>-0.6</v>
          </cell>
          <cell r="F31">
            <v>-10.9</v>
          </cell>
          <cell r="G31">
            <v>0</v>
          </cell>
          <cell r="H31">
            <v>-7.3</v>
          </cell>
          <cell r="I31">
            <v>-15.8</v>
          </cell>
          <cell r="J31">
            <v>14.5</v>
          </cell>
          <cell r="K31">
            <v>-8604.2999999999993</v>
          </cell>
          <cell r="L31">
            <v>-9081.1</v>
          </cell>
          <cell r="M31">
            <v>-95.2</v>
          </cell>
          <cell r="N31">
            <v>-526.5</v>
          </cell>
          <cell r="O31">
            <v>-1431.7</v>
          </cell>
          <cell r="P31">
            <v>0.6</v>
          </cell>
          <cell r="Q31">
            <v>2.5</v>
          </cell>
          <cell r="R31">
            <v>0</v>
          </cell>
          <cell r="S31">
            <v>-82.7</v>
          </cell>
          <cell r="T31">
            <v>0</v>
          </cell>
          <cell r="U31">
            <v>0</v>
          </cell>
          <cell r="V31">
            <v>-20</v>
          </cell>
          <cell r="W31">
            <v>18.3</v>
          </cell>
          <cell r="X31">
            <v>0</v>
          </cell>
          <cell r="Y31">
            <v>0</v>
          </cell>
          <cell r="Z31">
            <v>0</v>
          </cell>
          <cell r="AA31">
            <v>-3234.3</v>
          </cell>
          <cell r="AB31">
            <v>0</v>
          </cell>
          <cell r="AC31">
            <v>0</v>
          </cell>
          <cell r="AD31">
            <v>0</v>
          </cell>
          <cell r="AE31">
            <v>-15</v>
          </cell>
          <cell r="AF31">
            <v>0</v>
          </cell>
          <cell r="AG31">
            <v>13.9</v>
          </cell>
          <cell r="AH31">
            <v>2.5</v>
          </cell>
          <cell r="AI31">
            <v>0</v>
          </cell>
          <cell r="AJ31">
            <v>-88.1</v>
          </cell>
          <cell r="AK31">
            <v>0</v>
          </cell>
          <cell r="AL31">
            <v>0</v>
          </cell>
          <cell r="AM31">
            <v>-476.7</v>
          </cell>
          <cell r="AN31">
            <v>0</v>
          </cell>
        </row>
        <row r="32">
          <cell r="A32" t="str">
            <v>Portugal</v>
          </cell>
          <cell r="B32">
            <v>0</v>
          </cell>
          <cell r="C32">
            <v>0</v>
          </cell>
          <cell r="D32">
            <v>0</v>
          </cell>
          <cell r="E32">
            <v>0.5</v>
          </cell>
          <cell r="F32">
            <v>-1</v>
          </cell>
          <cell r="G32">
            <v>0</v>
          </cell>
          <cell r="H32">
            <v>-0.1</v>
          </cell>
          <cell r="I32">
            <v>0</v>
          </cell>
          <cell r="J32">
            <v>0.3</v>
          </cell>
          <cell r="K32">
            <v>-1054.0999999999999</v>
          </cell>
          <cell r="L32">
            <v>-957</v>
          </cell>
          <cell r="M32">
            <v>0</v>
          </cell>
          <cell r="N32">
            <v>0</v>
          </cell>
          <cell r="O32">
            <v>0</v>
          </cell>
          <cell r="P32">
            <v>-0.3</v>
          </cell>
          <cell r="Q32">
            <v>-0.1</v>
          </cell>
          <cell r="R32">
            <v>0</v>
          </cell>
          <cell r="S32">
            <v>0</v>
          </cell>
          <cell r="T32">
            <v>0</v>
          </cell>
          <cell r="U32">
            <v>0</v>
          </cell>
          <cell r="V32">
            <v>-0.6</v>
          </cell>
          <cell r="W32">
            <v>0</v>
          </cell>
          <cell r="X32">
            <v>0</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row>
        <row r="33">
          <cell r="A33" t="str">
            <v>Romania</v>
          </cell>
          <cell r="B33">
            <v>0</v>
          </cell>
          <cell r="C33">
            <v>0</v>
          </cell>
          <cell r="D33">
            <v>-35</v>
          </cell>
          <cell r="E33">
            <v>-7.8</v>
          </cell>
          <cell r="F33">
            <v>3.2</v>
          </cell>
          <cell r="G33">
            <v>0</v>
          </cell>
          <cell r="H33">
            <v>0</v>
          </cell>
          <cell r="I33">
            <v>19.600000000000001</v>
          </cell>
          <cell r="J33">
            <v>0.6</v>
          </cell>
          <cell r="K33">
            <v>-1867.7</v>
          </cell>
          <cell r="L33">
            <v>-1839.8</v>
          </cell>
          <cell r="M33">
            <v>-0.9</v>
          </cell>
          <cell r="N33">
            <v>-106.1</v>
          </cell>
          <cell r="O33">
            <v>-203</v>
          </cell>
          <cell r="P33">
            <v>0</v>
          </cell>
          <cell r="Q33">
            <v>-190</v>
          </cell>
          <cell r="R33">
            <v>0</v>
          </cell>
          <cell r="S33">
            <v>-203.1</v>
          </cell>
          <cell r="T33">
            <v>0</v>
          </cell>
          <cell r="U33">
            <v>0</v>
          </cell>
          <cell r="V33">
            <v>1.1000000000000001</v>
          </cell>
          <cell r="W33">
            <v>-0.4</v>
          </cell>
          <cell r="X33">
            <v>0</v>
          </cell>
          <cell r="Y33">
            <v>0</v>
          </cell>
          <cell r="Z33">
            <v>0</v>
          </cell>
          <cell r="AA33">
            <v>-384.4</v>
          </cell>
          <cell r="AB33">
            <v>0</v>
          </cell>
          <cell r="AC33">
            <v>40.9</v>
          </cell>
          <cell r="AD33">
            <v>0</v>
          </cell>
          <cell r="AE33">
            <v>0</v>
          </cell>
          <cell r="AF33">
            <v>0</v>
          </cell>
          <cell r="AG33">
            <v>0</v>
          </cell>
          <cell r="AH33">
            <v>-0.4</v>
          </cell>
          <cell r="AI33">
            <v>0</v>
          </cell>
          <cell r="AJ33">
            <v>28.1</v>
          </cell>
          <cell r="AK33">
            <v>0</v>
          </cell>
          <cell r="AL33">
            <v>0</v>
          </cell>
          <cell r="AM33">
            <v>27.8</v>
          </cell>
          <cell r="AN33">
            <v>0</v>
          </cell>
        </row>
        <row r="34">
          <cell r="A34" t="str">
            <v>Serbia</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t="str">
            <v>Slovakia</v>
          </cell>
          <cell r="B35">
            <v>0</v>
          </cell>
          <cell r="C35">
            <v>0</v>
          </cell>
          <cell r="D35">
            <v>-161.19999999999999</v>
          </cell>
          <cell r="E35">
            <v>-0.9</v>
          </cell>
          <cell r="F35">
            <v>-0.5</v>
          </cell>
          <cell r="G35">
            <v>0</v>
          </cell>
          <cell r="H35">
            <v>-51.7</v>
          </cell>
          <cell r="I35">
            <v>37.200000000000003</v>
          </cell>
          <cell r="J35">
            <v>-0.6</v>
          </cell>
          <cell r="K35">
            <v>-617.4</v>
          </cell>
          <cell r="L35">
            <v>-608.1</v>
          </cell>
          <cell r="M35">
            <v>19.2</v>
          </cell>
          <cell r="N35">
            <v>0</v>
          </cell>
          <cell r="O35">
            <v>125.9</v>
          </cell>
          <cell r="P35">
            <v>-0.1</v>
          </cell>
          <cell r="Q35">
            <v>-242.1</v>
          </cell>
          <cell r="R35">
            <v>0</v>
          </cell>
          <cell r="S35">
            <v>-16.399999999999999</v>
          </cell>
          <cell r="T35">
            <v>0</v>
          </cell>
          <cell r="U35">
            <v>0</v>
          </cell>
          <cell r="V35">
            <v>0</v>
          </cell>
          <cell r="W35">
            <v>0.4</v>
          </cell>
          <cell r="X35">
            <v>0</v>
          </cell>
          <cell r="Y35">
            <v>-25.6</v>
          </cell>
          <cell r="Z35">
            <v>0</v>
          </cell>
          <cell r="AA35">
            <v>-480.9</v>
          </cell>
          <cell r="AB35">
            <v>0</v>
          </cell>
          <cell r="AC35">
            <v>86.7</v>
          </cell>
          <cell r="AD35">
            <v>0.4</v>
          </cell>
          <cell r="AE35">
            <v>0.4</v>
          </cell>
          <cell r="AF35">
            <v>0</v>
          </cell>
          <cell r="AG35">
            <v>0</v>
          </cell>
          <cell r="AH35">
            <v>0.7</v>
          </cell>
          <cell r="AI35">
            <v>0</v>
          </cell>
          <cell r="AJ35">
            <v>10.3</v>
          </cell>
          <cell r="AK35">
            <v>0</v>
          </cell>
          <cell r="AL35">
            <v>0</v>
          </cell>
          <cell r="AM35">
            <v>9.1999999999999993</v>
          </cell>
          <cell r="AN35">
            <v>0</v>
          </cell>
        </row>
        <row r="36">
          <cell r="A36" t="str">
            <v>Slovenia</v>
          </cell>
          <cell r="B36">
            <v>0</v>
          </cell>
          <cell r="C36">
            <v>0</v>
          </cell>
          <cell r="D36">
            <v>0</v>
          </cell>
          <cell r="E36">
            <v>-0.7</v>
          </cell>
          <cell r="F36">
            <v>12.9</v>
          </cell>
          <cell r="G36">
            <v>-7.6</v>
          </cell>
          <cell r="H36">
            <v>5.0999999999999996</v>
          </cell>
          <cell r="I36">
            <v>-7.6</v>
          </cell>
          <cell r="J36">
            <v>0.3</v>
          </cell>
          <cell r="K36">
            <v>-193.2</v>
          </cell>
          <cell r="L36">
            <v>-217.5</v>
          </cell>
          <cell r="M36">
            <v>3.8</v>
          </cell>
          <cell r="N36">
            <v>0</v>
          </cell>
          <cell r="O36">
            <v>-6.4</v>
          </cell>
          <cell r="P36">
            <v>0</v>
          </cell>
          <cell r="Q36">
            <v>-2.2000000000000002</v>
          </cell>
          <cell r="R36">
            <v>0</v>
          </cell>
          <cell r="S36">
            <v>31.5</v>
          </cell>
          <cell r="T36">
            <v>0</v>
          </cell>
          <cell r="U36">
            <v>0</v>
          </cell>
          <cell r="V36">
            <v>-0.1</v>
          </cell>
          <cell r="W36">
            <v>0.1</v>
          </cell>
          <cell r="X36">
            <v>0</v>
          </cell>
          <cell r="Y36">
            <v>-7.8</v>
          </cell>
          <cell r="Z36">
            <v>0</v>
          </cell>
          <cell r="AA36">
            <v>-98.6</v>
          </cell>
          <cell r="AB36">
            <v>0</v>
          </cell>
          <cell r="AC36">
            <v>-1.6</v>
          </cell>
          <cell r="AD36">
            <v>0</v>
          </cell>
          <cell r="AE36">
            <v>-0.7</v>
          </cell>
          <cell r="AF36">
            <v>0</v>
          </cell>
          <cell r="AG36">
            <v>0.5</v>
          </cell>
          <cell r="AH36">
            <v>0</v>
          </cell>
          <cell r="AI36">
            <v>0</v>
          </cell>
          <cell r="AJ36">
            <v>-9.3000000000000007</v>
          </cell>
          <cell r="AK36">
            <v>0</v>
          </cell>
          <cell r="AL36">
            <v>0</v>
          </cell>
          <cell r="AM36">
            <v>-24.2</v>
          </cell>
          <cell r="AN36">
            <v>0</v>
          </cell>
        </row>
        <row r="37">
          <cell r="A37" t="str">
            <v>Spain</v>
          </cell>
          <cell r="B37">
            <v>0</v>
          </cell>
          <cell r="C37">
            <v>0</v>
          </cell>
          <cell r="D37">
            <v>0</v>
          </cell>
          <cell r="E37">
            <v>0</v>
          </cell>
          <cell r="F37">
            <v>0</v>
          </cell>
          <cell r="G37">
            <v>0</v>
          </cell>
          <cell r="H37">
            <v>0</v>
          </cell>
          <cell r="I37">
            <v>0</v>
          </cell>
          <cell r="J37">
            <v>0</v>
          </cell>
          <cell r="K37">
            <v>1648.4</v>
          </cell>
          <cell r="L37">
            <v>816.6</v>
          </cell>
          <cell r="M37">
            <v>0</v>
          </cell>
          <cell r="N37">
            <v>0</v>
          </cell>
          <cell r="O37">
            <v>977</v>
          </cell>
          <cell r="P37">
            <v>0</v>
          </cell>
          <cell r="Q37">
            <v>0</v>
          </cell>
          <cell r="R37">
            <v>0</v>
          </cell>
          <cell r="S37">
            <v>0</v>
          </cell>
          <cell r="T37">
            <v>0</v>
          </cell>
          <cell r="U37">
            <v>0</v>
          </cell>
          <cell r="V37">
            <v>0</v>
          </cell>
          <cell r="W37">
            <v>0</v>
          </cell>
          <cell r="X37">
            <v>0</v>
          </cell>
          <cell r="Y37">
            <v>0</v>
          </cell>
          <cell r="Z37">
            <v>0</v>
          </cell>
          <cell r="AA37">
            <v>-240</v>
          </cell>
          <cell r="AB37">
            <v>0</v>
          </cell>
          <cell r="AC37">
            <v>0</v>
          </cell>
          <cell r="AD37">
            <v>0</v>
          </cell>
          <cell r="AE37">
            <v>0</v>
          </cell>
          <cell r="AF37">
            <v>0</v>
          </cell>
          <cell r="AG37">
            <v>0</v>
          </cell>
          <cell r="AH37">
            <v>0</v>
          </cell>
          <cell r="AI37">
            <v>0</v>
          </cell>
          <cell r="AJ37">
            <v>0</v>
          </cell>
          <cell r="AK37">
            <v>0</v>
          </cell>
          <cell r="AL37">
            <v>0</v>
          </cell>
          <cell r="AM37">
            <v>-831.8</v>
          </cell>
          <cell r="AN37">
            <v>0</v>
          </cell>
        </row>
        <row r="38">
          <cell r="A38" t="str">
            <v>Sweden</v>
          </cell>
          <cell r="B38">
            <v>0</v>
          </cell>
          <cell r="C38">
            <v>0</v>
          </cell>
          <cell r="D38">
            <v>61.2</v>
          </cell>
          <cell r="E38">
            <v>0.2</v>
          </cell>
          <cell r="F38">
            <v>-0.5</v>
          </cell>
          <cell r="G38">
            <v>0</v>
          </cell>
          <cell r="H38">
            <v>-1.9</v>
          </cell>
          <cell r="I38">
            <v>406</v>
          </cell>
          <cell r="J38">
            <v>-1.3</v>
          </cell>
          <cell r="K38">
            <v>2315.6999999999998</v>
          </cell>
          <cell r="L38">
            <v>0</v>
          </cell>
          <cell r="M38">
            <v>2040.1</v>
          </cell>
          <cell r="N38">
            <v>70.8</v>
          </cell>
          <cell r="O38">
            <v>3154.8</v>
          </cell>
          <cell r="P38">
            <v>-2.5</v>
          </cell>
          <cell r="Q38">
            <v>1.6</v>
          </cell>
          <cell r="R38">
            <v>0</v>
          </cell>
          <cell r="S38">
            <v>135.4</v>
          </cell>
          <cell r="T38">
            <v>18.7</v>
          </cell>
          <cell r="U38">
            <v>0</v>
          </cell>
          <cell r="V38">
            <v>3</v>
          </cell>
          <cell r="W38">
            <v>4.5999999999999996</v>
          </cell>
          <cell r="X38">
            <v>0</v>
          </cell>
          <cell r="Y38">
            <v>0</v>
          </cell>
          <cell r="Z38">
            <v>0</v>
          </cell>
          <cell r="AA38">
            <v>-1805.9</v>
          </cell>
          <cell r="AB38">
            <v>0</v>
          </cell>
          <cell r="AC38">
            <v>-75.7</v>
          </cell>
          <cell r="AD38">
            <v>0</v>
          </cell>
          <cell r="AE38">
            <v>0</v>
          </cell>
          <cell r="AF38">
            <v>0</v>
          </cell>
          <cell r="AG38">
            <v>0</v>
          </cell>
          <cell r="AH38">
            <v>0</v>
          </cell>
          <cell r="AI38">
            <v>0</v>
          </cell>
          <cell r="AJ38">
            <v>0</v>
          </cell>
          <cell r="AK38">
            <v>0</v>
          </cell>
          <cell r="AL38">
            <v>0</v>
          </cell>
          <cell r="AM38">
            <v>0</v>
          </cell>
          <cell r="AN38">
            <v>0</v>
          </cell>
        </row>
        <row r="39">
          <cell r="A39" t="str">
            <v>Switzerland</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t="str">
            <v>Turkey</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row>
        <row r="41">
          <cell r="A41" t="str">
            <v>United Kingdom</v>
          </cell>
          <cell r="B41">
            <v>0</v>
          </cell>
          <cell r="C41">
            <v>0</v>
          </cell>
          <cell r="D41">
            <v>0</v>
          </cell>
          <cell r="E41">
            <v>2.1</v>
          </cell>
          <cell r="F41">
            <v>0</v>
          </cell>
          <cell r="G41">
            <v>0</v>
          </cell>
          <cell r="H41">
            <v>0</v>
          </cell>
          <cell r="I41">
            <v>781.8</v>
          </cell>
          <cell r="J41">
            <v>1.9</v>
          </cell>
          <cell r="K41">
            <v>0</v>
          </cell>
          <cell r="L41">
            <v>19558.5</v>
          </cell>
          <cell r="M41">
            <v>94.1</v>
          </cell>
          <cell r="N41">
            <v>2960.3</v>
          </cell>
          <cell r="O41">
            <v>-5968.1</v>
          </cell>
          <cell r="P41">
            <v>2.2000000000000002</v>
          </cell>
          <cell r="Q41">
            <v>25.2</v>
          </cell>
          <cell r="R41">
            <v>0</v>
          </cell>
          <cell r="S41">
            <v>225.7</v>
          </cell>
          <cell r="T41">
            <v>-379.9</v>
          </cell>
          <cell r="U41">
            <v>0</v>
          </cell>
          <cell r="V41">
            <v>0</v>
          </cell>
          <cell r="W41">
            <v>-0.3</v>
          </cell>
          <cell r="X41">
            <v>0</v>
          </cell>
          <cell r="Y41">
            <v>-25.1</v>
          </cell>
          <cell r="Z41">
            <v>0</v>
          </cell>
          <cell r="AA41">
            <v>8818.2999999999993</v>
          </cell>
          <cell r="AB41">
            <v>0</v>
          </cell>
          <cell r="AC41">
            <v>31.4</v>
          </cell>
          <cell r="AD41">
            <v>0</v>
          </cell>
          <cell r="AE41">
            <v>0</v>
          </cell>
          <cell r="AF41">
            <v>0</v>
          </cell>
          <cell r="AG41">
            <v>-2.6</v>
          </cell>
          <cell r="AH41">
            <v>2</v>
          </cell>
          <cell r="AI41">
            <v>0</v>
          </cell>
          <cell r="AJ41">
            <v>350.1</v>
          </cell>
          <cell r="AK41">
            <v>0</v>
          </cell>
          <cell r="AL41">
            <v>0</v>
          </cell>
          <cell r="AM41">
            <v>0</v>
          </cell>
          <cell r="AN41">
            <v>0</v>
          </cell>
        </row>
        <row r="42">
          <cell r="A42" t="str">
            <v>United States</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Total</v>
          </cell>
          <cell r="B43">
            <v>0</v>
          </cell>
          <cell r="C43">
            <v>-1357</v>
          </cell>
          <cell r="D43">
            <v>13712.5</v>
          </cell>
          <cell r="E43">
            <v>-111</v>
          </cell>
          <cell r="F43">
            <v>-190.2</v>
          </cell>
          <cell r="G43">
            <v>-4985.3999999999996</v>
          </cell>
          <cell r="H43">
            <v>1287</v>
          </cell>
          <cell r="I43">
            <v>4683.8</v>
          </cell>
          <cell r="J43">
            <v>371.9</v>
          </cell>
          <cell r="K43">
            <v>-62229.5</v>
          </cell>
          <cell r="L43">
            <v>-68112.7</v>
          </cell>
          <cell r="M43">
            <v>4842.7</v>
          </cell>
          <cell r="N43">
            <v>-7916.9</v>
          </cell>
          <cell r="O43">
            <v>-11753.4</v>
          </cell>
          <cell r="P43">
            <v>122</v>
          </cell>
          <cell r="Q43">
            <v>316.39999999999998</v>
          </cell>
          <cell r="R43">
            <v>0</v>
          </cell>
          <cell r="S43">
            <v>5259.3</v>
          </cell>
          <cell r="T43">
            <v>3562.7</v>
          </cell>
          <cell r="U43">
            <v>0</v>
          </cell>
          <cell r="V43">
            <v>-111.3</v>
          </cell>
          <cell r="W43">
            <v>156.4</v>
          </cell>
          <cell r="X43">
            <v>-70925.2</v>
          </cell>
          <cell r="Y43">
            <v>-2218.3000000000002</v>
          </cell>
          <cell r="Z43">
            <v>0</v>
          </cell>
          <cell r="AA43">
            <v>-10270.200000000001</v>
          </cell>
          <cell r="AB43">
            <v>0</v>
          </cell>
          <cell r="AC43">
            <v>1507</v>
          </cell>
          <cell r="AD43">
            <v>1817.1</v>
          </cell>
          <cell r="AE43">
            <v>-56</v>
          </cell>
          <cell r="AF43">
            <v>0</v>
          </cell>
          <cell r="AG43">
            <v>-618.4</v>
          </cell>
          <cell r="AH43">
            <v>63.1</v>
          </cell>
          <cell r="AI43">
            <v>-6063.3</v>
          </cell>
          <cell r="AJ43">
            <v>14210.7</v>
          </cell>
          <cell r="AK43">
            <v>0</v>
          </cell>
          <cell r="AL43">
            <v>0</v>
          </cell>
          <cell r="AM43">
            <v>-40980.699999999997</v>
          </cell>
          <cell r="AN43">
            <v>0</v>
          </cell>
        </row>
      </sheetData>
      <sheetData sheetId="21" refreshError="1"/>
      <sheetData sheetId="22">
        <row r="1">
          <cell r="A1" t="str">
            <v>partner_label</v>
          </cell>
          <cell r="B1" t="str">
            <v>Sum</v>
          </cell>
        </row>
        <row r="2">
          <cell r="B2" t="str">
            <v>discrepancy excl SPE</v>
          </cell>
        </row>
        <row r="3">
          <cell r="A3" t="str">
            <v>Austria</v>
          </cell>
          <cell r="B3">
            <v>0</v>
          </cell>
        </row>
        <row r="4">
          <cell r="A4" t="str">
            <v>Belgium</v>
          </cell>
          <cell r="B4">
            <v>-19491.5</v>
          </cell>
        </row>
        <row r="5">
          <cell r="A5" t="str">
            <v>Bulgaria</v>
          </cell>
          <cell r="B5">
            <v>-199.3</v>
          </cell>
        </row>
        <row r="6">
          <cell r="A6" t="str">
            <v>Croatia</v>
          </cell>
          <cell r="B6">
            <v>0</v>
          </cell>
        </row>
        <row r="7">
          <cell r="A7" t="str">
            <v>Cyprus</v>
          </cell>
          <cell r="B7">
            <v>0</v>
          </cell>
        </row>
        <row r="8">
          <cell r="A8" t="str">
            <v>Czechia</v>
          </cell>
          <cell r="B8">
            <v>0</v>
          </cell>
        </row>
        <row r="9">
          <cell r="A9" t="str">
            <v>Denmark</v>
          </cell>
          <cell r="B9">
            <v>0</v>
          </cell>
        </row>
        <row r="10">
          <cell r="A10" t="str">
            <v>Estonia</v>
          </cell>
          <cell r="B10">
            <v>0</v>
          </cell>
        </row>
        <row r="11">
          <cell r="A11" t="str">
            <v>European Union - 28 countries (2013-2020)</v>
          </cell>
          <cell r="B11">
            <v>-53633.9</v>
          </cell>
        </row>
        <row r="12">
          <cell r="A12" t="str">
            <v>Finland</v>
          </cell>
          <cell r="B12">
            <v>-1019.6</v>
          </cell>
        </row>
        <row r="13">
          <cell r="A13" t="str">
            <v>France</v>
          </cell>
          <cell r="B13">
            <v>0</v>
          </cell>
        </row>
        <row r="14">
          <cell r="A14" t="str">
            <v>Germany (until 1990 former territory of the FRG)</v>
          </cell>
          <cell r="B14">
            <v>1032.4000000000001</v>
          </cell>
        </row>
        <row r="15">
          <cell r="A15" t="str">
            <v>Greece</v>
          </cell>
          <cell r="B15">
            <v>0</v>
          </cell>
        </row>
        <row r="16">
          <cell r="A16" t="str">
            <v>Hungary</v>
          </cell>
          <cell r="B16">
            <v>-4074</v>
          </cell>
        </row>
        <row r="17">
          <cell r="A17" t="str">
            <v>Ireland</v>
          </cell>
          <cell r="B17">
            <v>0</v>
          </cell>
        </row>
        <row r="18">
          <cell r="A18" t="str">
            <v>Italy</v>
          </cell>
          <cell r="B18">
            <v>-6617</v>
          </cell>
        </row>
        <row r="19">
          <cell r="A19" t="str">
            <v>Latvia</v>
          </cell>
          <cell r="B19">
            <v>0</v>
          </cell>
        </row>
        <row r="20">
          <cell r="A20" t="str">
            <v>Lithuania</v>
          </cell>
          <cell r="B20">
            <v>0</v>
          </cell>
        </row>
        <row r="21">
          <cell r="A21" t="str">
            <v>Luxembourg</v>
          </cell>
          <cell r="B21">
            <v>23810.400000000001</v>
          </cell>
        </row>
        <row r="22">
          <cell r="A22" t="str">
            <v>Malta</v>
          </cell>
          <cell r="B22">
            <v>0</v>
          </cell>
        </row>
        <row r="23">
          <cell r="A23" t="str">
            <v>Netherlands</v>
          </cell>
          <cell r="B23">
            <v>-822.4</v>
          </cell>
        </row>
        <row r="24">
          <cell r="A24" t="str">
            <v>Poland</v>
          </cell>
          <cell r="B24">
            <v>0</v>
          </cell>
        </row>
        <row r="25">
          <cell r="A25" t="str">
            <v>Portugal</v>
          </cell>
          <cell r="B25">
            <v>0</v>
          </cell>
        </row>
        <row r="26">
          <cell r="A26" t="str">
            <v>Romania</v>
          </cell>
          <cell r="B26">
            <v>0</v>
          </cell>
        </row>
        <row r="27">
          <cell r="A27" t="str">
            <v>Slovakia</v>
          </cell>
          <cell r="B27">
            <v>0</v>
          </cell>
        </row>
        <row r="28">
          <cell r="A28" t="str">
            <v>Slovenia</v>
          </cell>
          <cell r="B28">
            <v>0</v>
          </cell>
        </row>
        <row r="29">
          <cell r="A29" t="str">
            <v>Spain</v>
          </cell>
          <cell r="B29">
            <v>0</v>
          </cell>
        </row>
        <row r="30">
          <cell r="A30" t="str">
            <v>Sweden</v>
          </cell>
          <cell r="B30">
            <v>0</v>
          </cell>
        </row>
        <row r="31">
          <cell r="A31" t="str">
            <v>United Kingdom</v>
          </cell>
          <cell r="B31">
            <v>5545.6</v>
          </cell>
        </row>
        <row r="32">
          <cell r="A32" t="str">
            <v>Total</v>
          </cell>
          <cell r="B32">
            <v>-55469.3</v>
          </cell>
        </row>
      </sheetData>
      <sheetData sheetId="23" refreshError="1"/>
      <sheetData sheetId="24" refreshError="1"/>
      <sheetData sheetId="25">
        <row r="12">
          <cell r="N12">
            <v>42673.941752970997</v>
          </cell>
          <cell r="O12">
            <v>16989.643428095002</v>
          </cell>
        </row>
        <row r="13">
          <cell r="N13">
            <v>15731.557147654999</v>
          </cell>
          <cell r="O13">
            <v>16333.818426061</v>
          </cell>
        </row>
        <row r="14">
          <cell r="N14">
            <v>38508.899585804997</v>
          </cell>
          <cell r="O14">
            <v>36325.982312772998</v>
          </cell>
        </row>
        <row r="15">
          <cell r="N15">
            <v>41289.329170459998</v>
          </cell>
          <cell r="O15">
            <v>63515.081075207003</v>
          </cell>
        </row>
        <row r="16">
          <cell r="N16">
            <v>16025.409673077</v>
          </cell>
          <cell r="O16">
            <v>5709.3762826963002</v>
          </cell>
        </row>
        <row r="17">
          <cell r="N17">
            <v>20342.617057184001</v>
          </cell>
          <cell r="O17">
            <v>5619.4311219260999</v>
          </cell>
        </row>
        <row r="18">
          <cell r="N18">
            <v>7647.2440472620001</v>
          </cell>
          <cell r="O18">
            <v>15689.138127512</v>
          </cell>
        </row>
        <row r="19">
          <cell r="N19">
            <v>1994.8908541363</v>
          </cell>
          <cell r="O19">
            <v>713.16467032352</v>
          </cell>
        </row>
        <row r="20">
          <cell r="N20">
            <v>8323.0717564088009</v>
          </cell>
          <cell r="O20">
            <v>13652.748236875001</v>
          </cell>
        </row>
        <row r="21">
          <cell r="N21">
            <v>31695.118710854</v>
          </cell>
          <cell r="O21">
            <v>106371.64450275</v>
          </cell>
        </row>
        <row r="22">
          <cell r="N22">
            <v>39365.222209783999</v>
          </cell>
          <cell r="O22">
            <v>128245.41587373</v>
          </cell>
        </row>
        <row r="23">
          <cell r="N23">
            <v>1868.2913243031001</v>
          </cell>
          <cell r="O23">
            <v>934.72589275718997</v>
          </cell>
        </row>
        <row r="24">
          <cell r="N24">
            <v>15812.221848669</v>
          </cell>
          <cell r="O24">
            <v>8833.6725686556001</v>
          </cell>
        </row>
        <row r="25">
          <cell r="N25">
            <v>-266.11163886770998</v>
          </cell>
          <cell r="O25">
            <v>324.20201163601001</v>
          </cell>
        </row>
        <row r="26">
          <cell r="N26">
            <v>94837.120788089</v>
          </cell>
          <cell r="O26">
            <v>17406.246501735</v>
          </cell>
        </row>
        <row r="27">
          <cell r="N27">
            <v>17823.547520429998</v>
          </cell>
          <cell r="O27">
            <v>28627.907757752</v>
          </cell>
        </row>
        <row r="28">
          <cell r="N28">
            <v>33504.331662172001</v>
          </cell>
          <cell r="O28">
            <v>136709.42236251</v>
          </cell>
        </row>
        <row r="29">
          <cell r="N29">
            <v>3443.02</v>
          </cell>
          <cell r="O29">
            <v>9063.48</v>
          </cell>
        </row>
        <row r="30">
          <cell r="N30">
            <v>1623.1948953318999</v>
          </cell>
          <cell r="O30">
            <v>113.06392029553</v>
          </cell>
        </row>
        <row r="31">
          <cell r="N31">
            <v>2317.8887271912999</v>
          </cell>
          <cell r="O31">
            <v>229.75484159857001</v>
          </cell>
        </row>
        <row r="32">
          <cell r="N32">
            <v>115405.79872383</v>
          </cell>
          <cell r="O32">
            <v>143643.79267883001</v>
          </cell>
        </row>
        <row r="34">
          <cell r="N34">
            <v>193605.47528154001</v>
          </cell>
          <cell r="O34">
            <v>231946.45815516001</v>
          </cell>
        </row>
        <row r="35">
          <cell r="N35">
            <v>5801.0540184453002</v>
          </cell>
          <cell r="O35">
            <v>608.69565217391005</v>
          </cell>
        </row>
        <row r="36">
          <cell r="N36">
            <v>13438.274270907001</v>
          </cell>
          <cell r="O36">
            <v>5478.1442502215996</v>
          </cell>
        </row>
        <row r="37">
          <cell r="N37">
            <v>23372.454955955</v>
          </cell>
          <cell r="O37">
            <v>2301.4882516971002</v>
          </cell>
        </row>
        <row r="38">
          <cell r="N38">
            <v>7314.4520317921997</v>
          </cell>
          <cell r="O38">
            <v>3019.1425053173998</v>
          </cell>
        </row>
        <row r="39">
          <cell r="N39">
            <v>5028.6430213814001</v>
          </cell>
          <cell r="O39">
            <v>356.28732004926002</v>
          </cell>
        </row>
        <row r="40">
          <cell r="N40">
            <v>1618.0308966752</v>
          </cell>
          <cell r="O40">
            <v>376.32038508900001</v>
          </cell>
        </row>
        <row r="41">
          <cell r="N41">
            <v>32175.081159745001</v>
          </cell>
          <cell r="O41">
            <v>42329.564535990001</v>
          </cell>
        </row>
        <row r="42">
          <cell r="N42">
            <v>23558.307511711999</v>
          </cell>
          <cell r="O42">
            <v>34513.478357428001</v>
          </cell>
        </row>
        <row r="43">
          <cell r="N43">
            <v>109623.79556812</v>
          </cell>
          <cell r="O43">
            <v>105855.53190461</v>
          </cell>
        </row>
        <row r="44">
          <cell r="N44">
            <v>3470.8</v>
          </cell>
          <cell r="O44">
            <v>813.95</v>
          </cell>
        </row>
        <row r="45">
          <cell r="N45">
            <v>55925.216947421999</v>
          </cell>
          <cell r="O45">
            <v>117344.30832056999</v>
          </cell>
        </row>
        <row r="46">
          <cell r="N46">
            <v>210804</v>
          </cell>
          <cell r="O46">
            <v>563643</v>
          </cell>
        </row>
        <row r="47">
          <cell r="N47">
            <v>54051</v>
          </cell>
          <cell r="O47">
            <v>16071</v>
          </cell>
        </row>
      </sheetData>
      <sheetData sheetId="26" refreshError="1"/>
      <sheetData sheetId="27" refreshError="1"/>
      <sheetData sheetId="28">
        <row r="1">
          <cell r="A1" t="e">
            <v>#NAME?</v>
          </cell>
          <cell r="B1" t="str">
            <v>&lt;?xml version="1.0" encoding="utf-16"?&gt;&lt;WebTableParameter xmlns:xsd="http://www.w3.org/2001/XMLSchema" xmlns:xsi="http://www.w3.org/2001/XMLSchema-instance" xmlns="http://stats.oecd.org/OECDStatWS/2004/03/01/"&gt;&lt;DataTable Code="FDI_INC_AGGR" HasMetadata="true"&gt;&lt;Name LocaleIsoCode="en"&gt;FDI income, main aggregates BMD4&lt;/Name&gt;&lt;Name LocaleIsoCode="fr"&gt;Revenus d'IDE, principaux agrégats BMD4&lt;/Name&gt;&lt;Dimension Code="COU" HasMetadata="false" CommonCode="LOCATION" Display="labels"&gt;&lt;Name LocaleIsoCode="en"&gt;Reporting country&lt;/Name&gt;&lt;Name LocaleIsoCode="fr"&gt;Pays déclarant&lt;/Name&gt;&lt;Member Code="AUS" HasMetadata="true" HasOnlyUnitMetadata="false" HasChild="0"&gt;&lt;Name LocaleIsoCode="en"&gt;Australia&lt;/Name&gt;&lt;Name LocaleIsoCode="fr"&gt;Australie&lt;/Name&gt;&lt;/Member&gt;&lt;Member Code="AUT" HasMetadata="true" HasOnlyUnitMetadata="false" HasChild="0"&gt;&lt;Name LocaleIsoCode="en"&gt;Austria&lt;/Name&gt;&lt;Name LocaleIsoCode="fr"&gt;Autriche&lt;/Name&gt;&lt;/Member&gt;&lt;Member Code="BEL" HasMetadata="true" HasOnlyUnitMetadata="false" HasChild="0"&gt;&lt;Name LocaleIsoCode="en"&gt;Belgium&lt;/Name&gt;&lt;Name LocaleIsoCode="fr"&gt;Belgique&lt;/Name&gt;&lt;/Member&gt;&lt;Member Code="CAN" HasMetadata="true" HasOnlyUnitMetadata="false" HasChild="0"&gt;&lt;Name LocaleIsoCode="en"&gt;Canada&lt;/Name&gt;&lt;Name LocaleIsoCode="fr"&gt;Canada&lt;/Name&gt;&lt;/Member&gt;&lt;Member Code="CHL" HasMetadata="true" HasOnlyUnitMetadata="false" HasChild="0"&gt;&lt;Name LocaleIsoCode="en"&gt;Chile&lt;/Name&gt;&lt;Name LocaleIsoCode="fr"&gt;Chili&lt;/Name&gt;&lt;/Member&gt;&lt;Member Code="CZE" HasMetadata="true" HasOnlyUnitMetadata="false" HasChild="0"&gt;&lt;Name LocaleIsoCode="en"&gt;Czech Republic&lt;/Name&gt;&lt;Name LocaleIsoCode="fr"&gt;République tchèque&lt;/Name&gt;&lt;/Member&gt;&lt;Member Code="DNK" HasMetadata="true" HasOnlyUnitMetadata="false" HasChild="0"&gt;&lt;Name LocaleIsoCode="en"&gt;Denmark&lt;/Name&gt;&lt;Name LocaleIsoCode="fr"&gt;Danemark&lt;/Name&gt;&lt;/Member&gt;&lt;Member Code="EST" HasMetadata="true" HasOnlyUnitMetadata="false" HasChild="0"&gt;&lt;Name LocaleIsoCode="en"&gt;Estonia&lt;/Name&gt;&lt;Name LocaleIsoCode="fr"&gt;Estonie&lt;/Name&gt;&lt;/Member&gt;&lt;Member Code="FIN" HasMetadata="true" HasOnlyUnitMetadata="false" HasChild="0"&gt;&lt;Name LocaleIsoCode="en"&gt;Finland&lt;/Name&gt;&lt;Name LocaleIsoCode="fr"&gt;Finlande&lt;/Name&gt;&lt;/Member&gt;&lt;Member Code="FRA" HasMetadata="true" HasOnlyUnitMetadata="false" HasChild="0"&gt;&lt;Name LocaleIsoCode="en"&gt;France&lt;/Name&gt;&lt;Name LocaleIsoCode="fr"&gt;France&lt;/Name&gt;&lt;/Member&gt;&lt;Member Code="DEU" HasMetadata="true" HasOnlyUnitMetadata="false" HasChild="0"&gt;&lt;Name LocaleIsoCode="en"&gt;Germany&lt;/Name&gt;&lt;Name LocaleIsoCode="fr"&gt;Allemagne&lt;/Name&gt;&lt;/Member&gt;&lt;Member Code="GRC" HasMetadata="true" HasOnlyUnitMetadata="false" HasChild="0"&gt;&lt;Name LocaleIsoCode="en"&gt;Greece&lt;/Name&gt;&lt;Name LocaleIsoCode="fr"&gt;Grèce&lt;/Name&gt;&lt;/Member&gt;&lt;Member Code="HUN" HasMetadata="true" HasOnlyUnitMetadata="false" HasChild="0"&gt;&lt;Name LocaleIsoCode="en"&gt;Hungary&lt;/Name&gt;&lt;Name LocaleIsoCode="fr"&gt;Hongrie&lt;/Name&gt;&lt;/Member&gt;&lt;Member Code="ISL" HasMetadata="true" HasOnlyUnitMetadata="false" HasChild="0"&gt;&lt;Name LocaleIsoCode="en"&gt;Iceland&lt;/Name&gt;&lt;Name LocaleIsoCode="fr"&gt;Islande&lt;/Name&gt;&lt;/Member&gt;&lt;Member Code="IRL" HasMetadata="true" HasOnlyUnitMetadata="false" HasChild="0"&gt;&lt;Name LocaleIsoCode="en"&gt;Ireland&lt;/Name&gt;&lt;Name LocaleIsoCode="fr"&gt;Irlande&lt;/Name&gt;&lt;/Member&gt;&lt;Member Code="ITA" HasMetadata="true" HasOnlyUnitMetadata="false" HasChild="0"&gt;&lt;Name LocaleIsoCode="en"&gt;Italy&lt;/Name&gt;&lt;Name LocaleIsoCode="fr"&gt;Italie&lt;/Name&gt;&lt;/Member&gt;&lt;Member Code="JPN" HasMetadata="true" HasOnlyUnitMetadata="false" HasChild="0"&gt;&lt;Name LocaleIsoCode="en"&gt;Japan&lt;/Name&gt;&lt;Name LocaleIsoCode="fr"&gt;Japon&lt;/Name&gt;&lt;/Member&gt;&lt;Member Code="KOR" HasMetadata="true" HasOnlyUnitMetadata="false" HasChild="0"&gt;&lt;Name LocaleIsoCode="en"&gt;Korea&lt;/Name&gt;&lt;Name LocaleIsoCode="fr"&gt;Corée&lt;/Name&gt;&lt;/Member&gt;&lt;Member Code="LVA" HasMetadata="true" HasOnlyUnitMetadata="false" HasChild="0"&gt;&lt;Name LocaleIsoCode="en"&gt;Latvia&lt;/Name&gt;&lt;Name LocaleIsoCode="fr"&gt;Lettonie&lt;/Name&gt;&lt;/Member&gt;&lt;Member Code="LTU" HasMetadata="true" HasOnlyUnitMetadata="true" HasChild="0"&gt;&lt;Name LocaleIsoCode="en"&gt;Lithuania&lt;/Name&gt;&lt;Name LocaleIsoCode="fr"&gt;Lituanie&lt;/Name&gt;&lt;/Member&gt;&lt;Member Code="LUX" HasMetadata="true" HasOnlyUnitMetadata="false" HasChild="0"&gt;&lt;Name LocaleIsoCode="en"&gt;Luxembourg&lt;/Name&gt;&lt;Name LocaleIsoCode="fr"&gt;Luxembourg&lt;/Name&gt;&lt;/Member&gt;&lt;Member Code="MEX" HasMetadata="true" HasOnlyUnitMetadata="false" HasChild="0"&gt;&lt;Name LocaleIsoCode="en"&gt;Mexico&lt;/Name&gt;&lt;Name LocaleIsoCode="fr"&gt;Mexique&lt;/Name&gt;&lt;/Member&gt;&lt;Member Code="NLD" HasMetadata="true" HasOnlyUnitMetadata="false" HasChild="0"&gt;&lt;Name LocaleIsoCode="en"&gt;Netherlands&lt;/Name&gt;&lt;Name LocaleIsoCode="fr"&gt;Pays-Bas&lt;/Name&gt;&lt;/Member&gt;&lt;Member Code="NZL" HasMetadata="true" HasOnlyUnitMetadata="false" HasChild="0"&gt;&lt;Name LocaleIsoCode="en"&gt;New Zealand&lt;/Name&gt;&lt;Name LocaleIsoCode="fr"&gt;Nouvelle-Zélande&lt;/Name&gt;&lt;/Member&gt;&lt;Member Code="NOR" HasMetadata="true" HasOnlyUnitMetadata="false" HasChild="0"&gt;&lt;Name LocaleIsoCode="en"&gt;Norway&lt;/Name&gt;&lt;Name LocaleIsoCode="fr"&gt;Norvège&lt;/Name&gt;&lt;/Member&gt;&lt;Member Code="POL" HasMetadata="true" HasOnlyUnitMetadata="false" HasChild="0"&gt;&lt;Name LocaleIsoCode="en"&gt;Poland&lt;/Name&gt;&lt;Name LocaleIsoCode="fr"&gt;Pologne&lt;/Name&gt;&lt;/Member&gt;&lt;Member Code="PRT" HasMetadata="true" HasOnlyUnitMetadata="false" HasChild="0"&gt;&lt;Name LocaleIsoCode="en"&gt;Portugal&lt;/Name&gt;&lt;Name LocaleIsoCode="fr"&gt;Portugal&lt;/Name&gt;&lt;/Member&gt;&lt;Member Code="SVK" HasMetadata="true" HasOnlyUnitMetadata="false" HasChild="0"&gt;&lt;Name LocaleIsoCode="en"&gt;Slovak Republic&lt;/Name&gt;&lt;Name LocaleIsoCode="fr"&gt;République slovaque&lt;/Name&gt;&lt;/Member&gt;&lt;Member Code="SVN" HasMetadata="true" HasOnlyUnitMetadata="false" HasChild="0"&gt;&lt;Name LocaleIsoCode="en"&gt;Slovenia&lt;/Name&gt;&lt;Name LocaleIsoCode="fr"&gt;Slovénie&lt;/Name&gt;&lt;/Member&gt;&lt;Member Code="ESP" HasMetadata="true" HasOnlyUnitMetadata="false" HasChild="0"&gt;&lt;Name LocaleIsoCode="en"&gt;Spain&lt;/Name&gt;&lt;Name LocaleIsoCode="fr"&gt;Espagne&lt;/Name&gt;&lt;/Member&gt;&lt;Member Code="SWE" HasMetadata="true" HasOnlyUnitMetadata="false" HasChild="0"&gt;&lt;Name LocaleIsoCode="en"&gt;Sweden&lt;/Name&gt;&lt;Name LocaleIsoCode="fr"&gt;Suède&lt;/Name&gt;&lt;/Member&gt;&lt;Member Code="CHE" HasMetadata="true" HasOnlyUnitMetadata="false" HasChild="0"&gt;&lt;Name LocaleIsoCode="en"&gt;Switzerland&lt;/Name&gt;&lt;Name LocaleIsoCode="fr"&gt;Suisse&lt;/Name&gt;&lt;/Member&gt;&lt;Member Code="TUR" HasMetadata="true" HasOnlyUnitMetadata="false" HasChild="0"&gt;&lt;Name LocaleIsoCode="en"&gt;Turkey&lt;/Name&gt;&lt;Name LocaleIsoCode="fr"&gt;Turquie&lt;/Name&gt;&lt;/Member&gt;&lt;Member Code="GBR" HasMetadata="true" HasOnlyUnitMetadata="false" HasChild="0"&gt;&lt;Name LocaleIsoCode="en"&gt;United Kingdom&lt;/Name&gt;&lt;Name LocaleIsoCode="fr"&gt;Royaume-Uni&lt;/Name&gt;&lt;/Member&gt;&lt;Member Code="USA" HasMetadata="true" HasOnlyUnitMetadata="false" HasChild="0"&gt;&lt;Name LocaleIsoCode="en"&gt;United States&lt;/Name&gt;&lt;Name LocaleIsoCode="fr"&gt;États-Unis&lt;/Name&gt;&lt;/Member&gt;&lt;Member Code="NMEC" HasMetadata="false" HasOnlyUnitMetadata="false" HasChild="1"&gt;&lt;Name LocaleIsoCode="en"&gt;Non-OECD Economies&lt;/Name&gt;&lt;Name LocaleIsoCode="fr"&gt;Économies non-OCDE&lt;/Name&gt;&lt;ChildMember Code="BRA" HasMetadata="true" HasOnlyUnitMetadata="false" HasChild="0"&gt;&lt;Name LocaleIsoCode="en"&gt;Brazil&lt;/Name&gt;&lt;Name LocaleIsoCode="fr"&gt;Brésil&lt;/Name&gt;&lt;/ChildMember&gt;&lt;/Member&gt;&lt;/Dimension&gt;&lt;Dimension Code="MEASURE" HasMetadata="false" Display="labels"&gt;&lt;Name LocaleIsoCode="en"&gt;Measure&lt;/Name&gt;&lt;Name LocaleIsoCode="fr"&gt;Mesure&lt;/Name&gt;&lt;Member Code="USD" HasMetadata="false" HasOnlyUnitMetadata="false" HasChild="0"&gt;&lt;Name LocaleIsoCode="en"&gt;US Dollar&lt;/Name&gt;&lt;Name LocaleIsoCode="fr"&gt;Dollar des États-Unis&lt;/Name&gt;&lt;/Member&gt;&lt;Member Code="SUB" HasMetadata="false" HasOnlyUnitMetadata="false" HasChild="0"&gt;&lt;Name LocaleIsoCode="en"&gt;Reported currency&lt;/Name&gt;&lt;Name LocaleIsoCode="fr"&gt;Monnaie rapportée&lt;/Name&gt;&lt;/Member&gt;&lt;Member Code="PER_GDP" HasMetadata="false" HasOnlyUnitMetadata="false" HasChild="0"&gt;&lt;Name LocaleIsoCode="en"&gt;As a share of GDP&lt;/Name&gt;&lt;Name LocaleIsoCode="fr"&gt;En pourcentage du PIB&lt;/Name&gt;&lt;/Member&gt;&lt;/Dimension&gt;&lt;Dimension Code="MEASURE_PRINCIPLE" HasMetadata="true" Display="labels"&gt;&lt;Name LocaleIsoCode="en"&gt;Measurement principle&lt;/Name&gt;&lt;Name LocaleIsoCode="fr"&gt;Principe de mesure&lt;/Name&gt;&lt;Member Code="A" HasMetadata="true" HasOnlyUnitMetadata="false" HasChild="0"&gt;&lt;Name LocaleIsoCode="en"&gt;Asset/Liability principle&lt;/Name&gt;&lt;Name LocaleIsoCode="fr"&gt;Principe actifs/passifs&lt;/Name&gt;&lt;/Member&gt;&lt;Member Code="DI" HasMetadata="true" HasOnlyUnitMetadata="false" HasChild="0"&gt;&lt;Name LocaleIsoCode="en"&gt;Directional principle: Inward&lt;/Name&gt;&lt;Name LocaleIsoCode="fr"&gt;Principe directionnel-Entrant&lt;/Name&gt;&lt;/Member&gt;&lt;Member Code="DO" HasMetadata="true" HasOnlyUnitMetadata="false" HasChild="0"&gt;&lt;Name LocaleIsoCode="en"&gt;Directional principle: Outward&lt;/Name&gt;&lt;Name LocaleIsoCode="fr"&gt;Principe directionnel-Sortant&lt;/Name&gt;&lt;/Member&gt;&lt;/Dimension&gt;&lt;Dimension Code="FDI_TYPE" HasMetadata="true" Display="labels"&gt;&lt;Name LocaleIsoCode="en"&gt;Type of FDI&lt;/Name&gt;&lt;Name LocaleIsoCode="fr"&gt;Type d'IDI&lt;/Name&gt;&lt;Member Code="T_D4P_F" HasMetadata="true" HasOnlyUnitMetadata="false" HasChild="1" IsDisplayed="true"&gt;&lt;Name LocaleIsoCode="en"&gt;FDI income - Total&lt;/Name&gt;&lt;Name LocaleIsoCode="fr"&gt;Revenus d'IDI - Total&lt;/Name&gt;&lt;ChildMember Code="T_D4S_F5" HasMetadata="true" HasOnlyUnitMetadata="false" HasChild="1"&gt;&lt;Name LocaleIsoCode="en"&gt;FDI income - Income on Equity&lt;/Name&gt;&lt;Name LocaleIsoCode="fr"&gt;Revenus d'IDI - Revenus de participations&lt;/Name&gt;&lt;ChildMember Code="T_D42S_F5" HasMetadata="true" HasOnlyUnitMetadata="false" HasChild="0"&gt;&lt;Name LocaleIsoCode="en"&gt;FDI income - Dividends&lt;/Name&gt;&lt;Name LocaleIsoCode="fr"&gt;Revenus d'IDI - Dividendes&lt;/Name&gt;&lt;/ChildMember&gt;&lt;ChildMember Code="T_D43S_F5" HasMetadata="true" HasOnlyUnitMetadata="false" HasChild="0"&gt;&lt;Name LocaleIsoCode="en"&gt;FDI income - Reinvested earnings&lt;/Name&gt;&lt;Name LocaleIsoCode="fr"&gt;Revenus d' IDI - Bénéfices réinvestis&lt;/Name&gt;&lt;/ChildMember&gt;&lt;/ChildMember&gt;&lt;ChildMember Code="T_D4Q_FL" HasMetadata="true" HasOnlyUnitMetadata="false" HasChild="0"&gt;&lt;Name LocaleIsoCode="en"&gt;FDI income - Interests from income on debt&lt;/Name&gt;&lt;Name LocaleIsoCode="fr"&gt;Revenus d'IDI - Revenus de prêts (intérêts)&lt;/Name&gt;&lt;/ChildMember&gt;&lt;/Member&gt;&lt;/Dimension&gt;&lt;Dimension Code="TYPE_ENTITY" HasMetadata="true" Display="labels"&gt;&lt;Name LocaleIsoCode="en"&gt;Type of entity&lt;/Name&gt;&lt;Name LocaleIsoCode="fr"&gt;Type d'entité&lt;/Name&gt;&lt;Member Code="RSP" HasMetadata="true" HasOnlyUnitMetadata="false" HasChild="0"&gt;&lt;Name LocaleIsoCode="en"&gt;Resident SPEs&lt;/Name&gt;&lt;Name LocaleIsoCode="fr"&gt;EVS résidentes&lt;/Name&gt;&lt;/Member&gt;&lt;/Dimension&gt;&lt;Dimension Code="ACCOUNTING_ENTRY" HasMetadata="true" Display="labels"&gt;&lt;Name LocaleIsoCode="en"&gt;Accounting entry&lt;/Name&gt;&lt;Name LocaleIsoCode="fr"&gt;Écriture comptable&lt;/Name&gt;&lt;Member Code="NET" HasMetadata="true" HasOnlyUnitMetadata="false" HasChild="0"&gt;&lt;Name LocaleIsoCode="en"&gt;Net &lt;/Name&gt;&lt;Name LocaleIsoCode="fr"&gt;Net&lt;/Name&gt;&lt;/Member&gt;&lt;Member Code="C" HasMetadata="true" HasOnlyUnitMetadata="false" HasChild="0"&gt;&lt;Name LocaleIsoCode="en"&gt;Credit &lt;/Name&gt;&lt;Name LocaleIsoCode="fr"&gt;Crédits &lt;/Name&gt;&lt;/Member&gt;&lt;Member Code="D" HasMetadata="true" HasOnlyUnitMetadata="false" HasChild="0"&gt;&lt;Name LocaleIsoCode="en"&gt;Debit&lt;/Name&gt;&lt;Name LocaleIsoCode="fr"&gt;Débits &lt;/Name&gt;&lt;/Member&gt;&lt;/Dimension&gt;&lt;Dimension Code="FDI_COMP" HasMetadata="false" Display="labels"&gt;&lt;Name LocaleIsoCode="en"&gt;FDI components&lt;/Name&gt;&lt;Name LocaleIsoCode="fr"&gt;Composants de l'IDI&lt;/Name&gt;&lt;Member Code="D" HasMetadata="false" HasOnlyUnitMetadata="false" HasChild="1"&gt;&lt;Name LocaleIsoCode="en"&gt;Total Direct Investment&lt;/Name&gt;&lt;Name LocaleIsoCode="fr"&gt;Investissement direct total&lt;/Name&gt;&lt;ChildMember Code="D1" HasMetadata="false" HasOnlyUnitMetadata="false" HasChild="0"&gt;&lt;Name LocaleIsoCode="en"&gt;Direct investor in direct invesment enterprises&lt;/Name&gt;&lt;Name LocaleIsoCode="fr"&gt;Investisseur direct dans ses entreprises d'investissement direct&lt;/Name&gt;&lt;/ChildMember&gt;&lt;ChildMember Code="D2" HasMetadata="false" HasOnlyUnitMetadata="false" HasChild="0"&gt;&lt;Name LocaleIsoCode="en"&gt;Direct investment enterprises in direct investor&lt;/Name&gt;&lt;Name LocaleIsoCode="fr"&gt;Entreprises d'investissement direct dans leur investisseur direct&lt;/Name&gt;&lt;/ChildMember&gt;&lt;ChildMember Code="D3" HasMetadata="false" HasOnlyUnitMetadata="false" HasChild="1"&gt;&lt;Name LocaleIsoCode="en"&gt;Direct Investment between fellow enterprises&lt;/Name&gt;&lt;Name LocaleIsoCode="fr"&gt;Investissement direct entre entreprises soeurs&lt;/Name&gt;&lt;ChildMember Code="U1" HasMetadata="false" HasOnlyUnitMetadata="false" HasChild="0"&gt;&lt;Name LocaleIsoCode="en"&gt;If Ultimate controlling parent is resident&lt;/Name&gt;&lt;Name LocaleIsoCode="fr"&gt;Si la société mère de contrôle ultime est résidente&lt;/Name&gt;&lt;/ChildMember&gt;&lt;ChildMember Code="U2" HasMetadata="false" HasOnlyUnitMetadata="false" HasChild="0"&gt;&lt;Name LocaleIsoCode="en"&gt;If Ulimate controlling parent is not resident&lt;/Name&gt;&lt;Name LocaleIsoCode="fr"&gt;Si la société mère de contrôle ultime est non résidente&lt;/Name&gt;&lt;/ChildMember&gt;&lt;/ChildMember&gt;&lt;/Member&gt;&lt;/Dimension&gt;&lt;Dimension Code="TIME" HasMetadata="false" CommonCode="TIME" Display="labels"&gt;&lt;Name LocaleIsoCode="en"&gt;Time&lt;/Name&gt;&lt;Name LocaleIsoCode="fr"&gt;Temps&lt;/Name&gt;&lt;Member Code="2016" HasMetadata="false"&gt;&lt;Name LocaleIsoCode="en"&gt;2016&lt;/Name&gt;&lt;Name LocaleIsoCode="fr"&gt;2016&lt;/Name&gt;&lt;/Member&gt;&lt;/Dimension&gt;&lt;WBOSInformations&gt;&lt;TimeDimension WebTreeWasUsed="false"&gt;&lt;StartCodes Annual="2016" /&gt;&lt;EndCodes Annual="2016" /&gt;&lt;/TimeDimension&gt;&lt;/WBOSInformations&gt;&lt;Tabulation Axis="horizontal"&gt;&lt;Dimension Code="MEASURE_PRINCIPLE" /&gt;&lt;Dimension Code="ACCOUNTING_ENTRY" /&gt;&lt;Dimension Code="TIME" CommonCode="TIME" /&gt;&lt;/Tabulation&gt;&lt;Tabulation Axis="vertical"&gt;&lt;Dimension Code="COU" CommonCode="LOCATION" /&gt;&lt;Dimension Code="TYPE_ENTITY" /&gt;&lt;/Tabulation&gt;&lt;Tabulation Axis="page"&gt;&lt;Dimension Code="FDI_TYPE" /&gt;&lt;Dimension Code="FDI_COMP" /&gt;&lt;Dimension Code="MEASURE" /&gt;&lt;/Tabulation&gt;&lt;Formatting&gt;&lt;Labels LocaleIsoCode="en" /&gt;&lt;Power&gt;0&lt;/Power&gt;&lt;Decimals&gt;2&lt;/Decimals&gt;&lt;SkipEmptyLines&gt;true&lt;/SkipEmptyLines&gt;&lt;SkipEmptyCols&gt;false&lt;/SkipEmptyCols&gt;&lt;SkipLineHierarchy&gt;tru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64215&amp;amp;QueryType=Public&amp;amp;Lang=en&lt;/AbsoluteUri&gt;&lt;/Query&gt;&lt;/WebTableParameter&gt;</v>
          </cell>
        </row>
        <row r="2">
          <cell r="A2" t="str">
            <v>Dataset: FDI income, main aggregates BMD4</v>
          </cell>
        </row>
        <row r="3">
          <cell r="A3" t="str">
            <v>Type of FDI</v>
          </cell>
          <cell r="E3" t="str">
            <v>FDI income - Total</v>
          </cell>
        </row>
        <row r="4">
          <cell r="A4" t="str">
            <v>FDI components</v>
          </cell>
          <cell r="E4" t="str">
            <v>Total Direct Investment</v>
          </cell>
        </row>
        <row r="5">
          <cell r="A5" t="str">
            <v>Measure</v>
          </cell>
          <cell r="E5" t="str">
            <v>US Dollar</v>
          </cell>
        </row>
        <row r="6">
          <cell r="A6" t="str">
            <v>Measurement principle</v>
          </cell>
          <cell r="E6" t="str">
            <v>Asset/Liability principle</v>
          </cell>
          <cell r="G6" t="str">
            <v>Directional principle: Inward</v>
          </cell>
          <cell r="H6" t="str">
            <v>Directional principle: Outward</v>
          </cell>
        </row>
        <row r="7">
          <cell r="A7" t="str">
            <v>Accounting entry</v>
          </cell>
          <cell r="E7" t="str">
            <v>Credit</v>
          </cell>
          <cell r="F7" t="str">
            <v>Debit</v>
          </cell>
          <cell r="G7" t="str">
            <v>Net</v>
          </cell>
        </row>
        <row r="8">
          <cell r="A8" t="str">
            <v>Time</v>
          </cell>
          <cell r="E8">
            <v>2019</v>
          </cell>
        </row>
        <row r="9">
          <cell r="A9" t="str">
            <v>Reporting country</v>
          </cell>
          <cell r="B9" t="str">
            <v>Type of entity</v>
          </cell>
          <cell r="C9" t="str">
            <v>Unit</v>
          </cell>
          <cell r="D9" t="str">
            <v/>
          </cell>
          <cell r="E9" t="str">
            <v/>
          </cell>
          <cell r="F9" t="str">
            <v/>
          </cell>
          <cell r="G9" t="str">
            <v/>
          </cell>
          <cell r="H9" t="str">
            <v/>
          </cell>
        </row>
        <row r="10">
          <cell r="A10" t="str">
            <v>Austria</v>
          </cell>
          <cell r="B10" t="str">
            <v>Resident SPEs</v>
          </cell>
          <cell r="C10" t="str">
            <v>US Dollar, Millions</v>
          </cell>
          <cell r="D10" t="str">
            <v>i</v>
          </cell>
          <cell r="E10">
            <v>540.69181685883996</v>
          </cell>
          <cell r="F10">
            <v>324.63897906637999</v>
          </cell>
          <cell r="G10">
            <v>5.5972237770066</v>
          </cell>
          <cell r="H10">
            <v>223.88895108026</v>
          </cell>
        </row>
        <row r="11">
          <cell r="A11" t="str">
            <v>Chile</v>
          </cell>
          <cell r="C11" t="str">
            <v>US Dollar, Millions</v>
          </cell>
          <cell r="D11" t="str">
            <v>i</v>
          </cell>
          <cell r="E11">
            <v>44.309744042444002</v>
          </cell>
          <cell r="F11">
            <v>7.6930743913901001</v>
          </cell>
          <cell r="G11">
            <v>7.6930743913901001</v>
          </cell>
          <cell r="H11">
            <v>44.309744042444002</v>
          </cell>
        </row>
        <row r="12">
          <cell r="A12" t="str">
            <v>Czech Republic</v>
          </cell>
          <cell r="C12" t="str">
            <v>US Dollar, Millions</v>
          </cell>
          <cell r="D12" t="str">
            <v>i</v>
          </cell>
          <cell r="E12">
            <v>0</v>
          </cell>
          <cell r="F12">
            <v>0</v>
          </cell>
          <cell r="G12">
            <v>0</v>
          </cell>
          <cell r="H12">
            <v>0</v>
          </cell>
        </row>
        <row r="13">
          <cell r="A13" t="str">
            <v>Denmark</v>
          </cell>
          <cell r="C13" t="str">
            <v>US Dollar, Millions</v>
          </cell>
          <cell r="D13" t="str">
            <v>i</v>
          </cell>
          <cell r="E13">
            <v>22.491453247766</v>
          </cell>
          <cell r="F13">
            <v>0</v>
          </cell>
          <cell r="G13">
            <v>-10.496011515624</v>
          </cell>
          <cell r="H13">
            <v>12.295327775444999</v>
          </cell>
        </row>
        <row r="14">
          <cell r="A14" t="str">
            <v>Estonia</v>
          </cell>
          <cell r="C14" t="str">
            <v>US Dollar, Millions</v>
          </cell>
          <cell r="D14" t="str">
            <v>i</v>
          </cell>
          <cell r="E14">
            <v>4.4106123362811998</v>
          </cell>
          <cell r="F14" t="str">
            <v>..</v>
          </cell>
          <cell r="G14" t="str">
            <v>..</v>
          </cell>
          <cell r="H14" t="str">
            <v>..</v>
          </cell>
        </row>
        <row r="15">
          <cell r="A15" t="str">
            <v>Finland</v>
          </cell>
          <cell r="C15" t="str">
            <v>US Dollar, Millions</v>
          </cell>
          <cell r="D15" t="str">
            <v>i</v>
          </cell>
          <cell r="E15">
            <v>0</v>
          </cell>
          <cell r="F15">
            <v>14.552781820217</v>
          </cell>
          <cell r="G15">
            <v>13.433337064816</v>
          </cell>
          <cell r="H15">
            <v>0</v>
          </cell>
        </row>
        <row r="16">
          <cell r="A16" t="str">
            <v>France</v>
          </cell>
          <cell r="C16" t="str">
            <v>US Dollar, Millions</v>
          </cell>
          <cell r="D16" t="str">
            <v>i</v>
          </cell>
          <cell r="E16">
            <v>0</v>
          </cell>
          <cell r="F16">
            <v>0</v>
          </cell>
          <cell r="G16">
            <v>0</v>
          </cell>
          <cell r="H16">
            <v>0</v>
          </cell>
        </row>
        <row r="17">
          <cell r="A17" t="str">
            <v>Germany</v>
          </cell>
          <cell r="C17" t="str">
            <v>US Dollar, Millions</v>
          </cell>
          <cell r="D17" t="str">
            <v>i</v>
          </cell>
          <cell r="E17">
            <v>0</v>
          </cell>
          <cell r="F17">
            <v>0</v>
          </cell>
          <cell r="G17">
            <v>0</v>
          </cell>
          <cell r="H17">
            <v>0</v>
          </cell>
        </row>
        <row r="18">
          <cell r="A18" t="str">
            <v>Greece</v>
          </cell>
          <cell r="C18" t="str">
            <v>US Dollar, Millions</v>
          </cell>
          <cell r="D18" t="str">
            <v>i</v>
          </cell>
          <cell r="E18">
            <v>0</v>
          </cell>
          <cell r="F18">
            <v>0</v>
          </cell>
          <cell r="G18">
            <v>0</v>
          </cell>
          <cell r="H18">
            <v>0</v>
          </cell>
        </row>
        <row r="19">
          <cell r="A19" t="str">
            <v>Hungary</v>
          </cell>
          <cell r="C19" t="str">
            <v>US Dollar, Millions</v>
          </cell>
          <cell r="D19" t="str">
            <v>i</v>
          </cell>
          <cell r="E19">
            <v>2521.5215555538998</v>
          </cell>
          <cell r="F19">
            <v>1391.6544414949999</v>
          </cell>
          <cell r="G19">
            <v>-854.03657778698005</v>
          </cell>
          <cell r="H19">
            <v>275.83053627187002</v>
          </cell>
        </row>
        <row r="20">
          <cell r="A20" t="str">
            <v>Iceland</v>
          </cell>
          <cell r="C20" t="str">
            <v>US Dollar, Millions</v>
          </cell>
          <cell r="D20" t="str">
            <v>i</v>
          </cell>
          <cell r="E20">
            <v>0</v>
          </cell>
          <cell r="F20">
            <v>0.79910956362910002</v>
          </cell>
          <cell r="G20">
            <v>0.79910956362910002</v>
          </cell>
          <cell r="H20">
            <v>0</v>
          </cell>
        </row>
        <row r="21">
          <cell r="A21" t="str">
            <v>Italy</v>
          </cell>
          <cell r="C21" t="str">
            <v>US Dollar, Millions</v>
          </cell>
          <cell r="D21" t="str">
            <v>i</v>
          </cell>
          <cell r="E21">
            <v>0</v>
          </cell>
          <cell r="F21">
            <v>0</v>
          </cell>
          <cell r="G21">
            <v>0</v>
          </cell>
          <cell r="H21">
            <v>0</v>
          </cell>
        </row>
        <row r="22">
          <cell r="A22" t="str">
            <v>Japan</v>
          </cell>
          <cell r="C22" t="str">
            <v>US Dollar, Millions</v>
          </cell>
          <cell r="D22" t="str">
            <v>i</v>
          </cell>
        </row>
        <row r="23">
          <cell r="A23" t="str">
            <v>Korea</v>
          </cell>
          <cell r="C23" t="str">
            <v>US Dollar, Millions</v>
          </cell>
          <cell r="D23" t="str">
            <v>i</v>
          </cell>
          <cell r="E23" t="str">
            <v>..</v>
          </cell>
          <cell r="F23" t="str">
            <v>..</v>
          </cell>
          <cell r="G23">
            <v>0</v>
          </cell>
          <cell r="H23">
            <v>0</v>
          </cell>
        </row>
        <row r="24">
          <cell r="A24" t="str">
            <v>Latvia</v>
          </cell>
          <cell r="C24" t="str">
            <v>US Dollar, Millions</v>
          </cell>
          <cell r="D24" t="str">
            <v>i</v>
          </cell>
          <cell r="E24">
            <v>0</v>
          </cell>
          <cell r="F24">
            <v>0</v>
          </cell>
          <cell r="G24">
            <v>0</v>
          </cell>
          <cell r="H24">
            <v>0</v>
          </cell>
        </row>
        <row r="25">
          <cell r="A25" t="str">
            <v>Lithuania</v>
          </cell>
          <cell r="C25" t="str">
            <v>US Dollar, Millions</v>
          </cell>
          <cell r="D25" t="str">
            <v>i</v>
          </cell>
          <cell r="E25">
            <v>0</v>
          </cell>
          <cell r="F25">
            <v>57.192432553453003</v>
          </cell>
          <cell r="G25">
            <v>57.192432553453003</v>
          </cell>
          <cell r="H25">
            <v>0</v>
          </cell>
        </row>
        <row r="26">
          <cell r="A26" t="str">
            <v>Luxembourg</v>
          </cell>
          <cell r="C26" t="str">
            <v>US Dollar, Millions</v>
          </cell>
          <cell r="D26" t="str">
            <v>i</v>
          </cell>
          <cell r="E26">
            <v>52378.820105227998</v>
          </cell>
          <cell r="F26">
            <v>46029.329452591999</v>
          </cell>
          <cell r="G26">
            <v>3760.2149333930001</v>
          </cell>
          <cell r="H26">
            <v>10108.586141274</v>
          </cell>
        </row>
        <row r="27">
          <cell r="A27" t="str">
            <v>Netherlands</v>
          </cell>
          <cell r="C27" t="str">
            <v>US Dollar, Millions</v>
          </cell>
          <cell r="D27" t="str">
            <v>i</v>
          </cell>
          <cell r="E27">
            <v>33320.273147879001</v>
          </cell>
          <cell r="F27">
            <v>20453.375137132</v>
          </cell>
          <cell r="G27">
            <v>14446.383606851001</v>
          </cell>
          <cell r="H27">
            <v>27313.281617598001</v>
          </cell>
        </row>
        <row r="28">
          <cell r="A28" t="str">
            <v>New Zealand</v>
          </cell>
          <cell r="C28" t="str">
            <v>US Dollar, Millions</v>
          </cell>
          <cell r="D28" t="str">
            <v>i</v>
          </cell>
          <cell r="E28">
            <v>0</v>
          </cell>
          <cell r="F28">
            <v>0</v>
          </cell>
          <cell r="G28">
            <v>0</v>
          </cell>
          <cell r="H28">
            <v>0</v>
          </cell>
        </row>
        <row r="29">
          <cell r="A29" t="str">
            <v>Norway</v>
          </cell>
          <cell r="C29" t="str">
            <v>US Dollar, Millions</v>
          </cell>
          <cell r="D29" t="str">
            <v>i</v>
          </cell>
          <cell r="E29" t="str">
            <v>..</v>
          </cell>
          <cell r="F29" t="str">
            <v>..</v>
          </cell>
          <cell r="G29">
            <v>58.873002523129003</v>
          </cell>
          <cell r="H29">
            <v>67.510740345054998</v>
          </cell>
        </row>
        <row r="30">
          <cell r="A30" t="str">
            <v>Poland</v>
          </cell>
          <cell r="C30" t="str">
            <v>US Dollar, Millions</v>
          </cell>
          <cell r="D30" t="str">
            <v>i</v>
          </cell>
          <cell r="E30">
            <v>0</v>
          </cell>
          <cell r="F30">
            <v>0</v>
          </cell>
          <cell r="G30">
            <v>0</v>
          </cell>
          <cell r="H30">
            <v>0</v>
          </cell>
        </row>
        <row r="31">
          <cell r="A31" t="str">
            <v>Portugal</v>
          </cell>
          <cell r="C31" t="str">
            <v>US Dollar, Millions</v>
          </cell>
          <cell r="D31" t="str">
            <v>i</v>
          </cell>
          <cell r="E31">
            <v>77.241688122691002</v>
          </cell>
          <cell r="F31">
            <v>101.86947274152</v>
          </cell>
          <cell r="G31">
            <v>99.630583230718003</v>
          </cell>
          <cell r="H31">
            <v>75.002798611889006</v>
          </cell>
        </row>
        <row r="32">
          <cell r="A32" t="str">
            <v>Slovak Republic</v>
          </cell>
          <cell r="C32" t="str">
            <v>US Dollar, Millions</v>
          </cell>
          <cell r="D32" t="str">
            <v>i</v>
          </cell>
          <cell r="E32">
            <v>0</v>
          </cell>
          <cell r="F32">
            <v>0</v>
          </cell>
          <cell r="G32">
            <v>0</v>
          </cell>
          <cell r="H32">
            <v>0</v>
          </cell>
        </row>
        <row r="33">
          <cell r="A33" t="str">
            <v>Slovenia</v>
          </cell>
          <cell r="C33" t="str">
            <v>US Dollar, Millions</v>
          </cell>
          <cell r="D33" t="str">
            <v>i</v>
          </cell>
          <cell r="E33">
            <v>0</v>
          </cell>
          <cell r="F33">
            <v>0</v>
          </cell>
          <cell r="G33">
            <v>0</v>
          </cell>
          <cell r="H33">
            <v>0</v>
          </cell>
        </row>
        <row r="34">
          <cell r="A34" t="str">
            <v>Spain</v>
          </cell>
          <cell r="C34" t="str">
            <v>US Dollar, Millions</v>
          </cell>
          <cell r="D34" t="str">
            <v>i</v>
          </cell>
          <cell r="E34">
            <v>24.627784618829001</v>
          </cell>
          <cell r="F34" t="str">
            <v>..</v>
          </cell>
          <cell r="G34">
            <v>14.552781820217</v>
          </cell>
          <cell r="H34">
            <v>-2.2388895108026001</v>
          </cell>
        </row>
        <row r="35">
          <cell r="A35" t="str">
            <v>Sweden</v>
          </cell>
          <cell r="C35" t="str">
            <v>US Dollar, Millions</v>
          </cell>
          <cell r="D35" t="str">
            <v>i</v>
          </cell>
          <cell r="E35" t="str">
            <v>..</v>
          </cell>
          <cell r="F35">
            <v>18.612717985595999</v>
          </cell>
          <cell r="G35">
            <v>-44.839729692573002</v>
          </cell>
          <cell r="H35" t="str">
            <v>..</v>
          </cell>
        </row>
        <row r="36">
          <cell r="A36" t="str">
            <v>Switzerland</v>
          </cell>
          <cell r="C36" t="str">
            <v>US Dollar, Millions</v>
          </cell>
          <cell r="D36" t="str">
            <v>i</v>
          </cell>
          <cell r="E36">
            <v>875.52555077699003</v>
          </cell>
          <cell r="F36">
            <v>953.74927571795001</v>
          </cell>
          <cell r="G36">
            <v>145.09124330556</v>
          </cell>
          <cell r="H36">
            <v>66.867518364608998</v>
          </cell>
        </row>
        <row r="37">
          <cell r="A37" t="str">
            <v>Turkey</v>
          </cell>
          <cell r="C37" t="str">
            <v>US Dollar, Millions</v>
          </cell>
          <cell r="D37" t="str">
            <v>i</v>
          </cell>
          <cell r="E37">
            <v>0</v>
          </cell>
          <cell r="F37">
            <v>0</v>
          </cell>
          <cell r="G37">
            <v>0</v>
          </cell>
          <cell r="H37">
            <v>0</v>
          </cell>
        </row>
        <row r="38">
          <cell r="A38" t="str">
            <v>United States</v>
          </cell>
          <cell r="C38" t="str">
            <v>US Dollar, Millions</v>
          </cell>
          <cell r="D38" t="str">
            <v>i</v>
          </cell>
          <cell r="E38">
            <v>498</v>
          </cell>
          <cell r="F38">
            <v>1639</v>
          </cell>
          <cell r="G38">
            <v>1141</v>
          </cell>
          <cell r="H38">
            <v>0</v>
          </cell>
        </row>
        <row r="39">
          <cell r="A39" t="str">
            <v>Data extracted on 24 Jun 2019 09:51 UTC (GMT) from OECD.Stat</v>
          </cell>
        </row>
        <row r="40">
          <cell r="A40" t="str">
            <v>Legend:</v>
          </cell>
        </row>
        <row r="41">
          <cell r="A41" t="str">
            <v>C:</v>
          </cell>
          <cell r="B41" t="str">
            <v>Non-publishable and confidential value</v>
          </cell>
        </row>
        <row r="42">
          <cell r="A42" t="str">
            <v>N:</v>
          </cell>
          <cell r="B42" t="str">
            <v>Non-publishable, but non-confidential value</v>
          </cell>
        </row>
        <row r="43">
          <cell r="A43" t="str">
            <v>d:</v>
          </cell>
          <cell r="B43" t="str">
            <v>Secondary Confidentiality</v>
          </cell>
        </row>
      </sheetData>
      <sheetData sheetId="29" refreshError="1"/>
      <sheetData sheetId="30">
        <row r="1">
          <cell r="A1" t="str">
            <v>Table 1A: Country-by-Country Report (Form 8975): Tax Jurisdiction Information (Schedule A: Part I) by Major Geographic Region and Selected Tax Jurisdiction, Tax Year 2019 ('18 if 19 not available)</v>
          </cell>
        </row>
        <row r="2">
          <cell r="A2" t="str">
            <v>[All figures are estimates based on a sample--money amounts are in thousands of dollars]</v>
          </cell>
        </row>
        <row r="3">
          <cell r="A3" t="str">
            <v>Geographic region and selected tax jurisdiction</v>
          </cell>
          <cell r="B3" t="str">
            <v>Number of reporting multinational enterprise groups [2]</v>
          </cell>
          <cell r="C3" t="str">
            <v>Revenues</v>
          </cell>
          <cell r="F3" t="str">
            <v>Profit (loss) before income tax</v>
          </cell>
          <cell r="G3" t="str">
            <v>Income tax paid (on cash basis)</v>
          </cell>
          <cell r="H3" t="str">
            <v>Income tax accrued - current year</v>
          </cell>
          <cell r="I3" t="str">
            <v>Stated capital</v>
          </cell>
          <cell r="J3" t="str">
            <v>Accumulated earnings</v>
          </cell>
          <cell r="K3" t="str">
            <v>Number of employees</v>
          </cell>
          <cell r="L3" t="str">
            <v>Tangible assets other than cash and cash equivalents</v>
          </cell>
        </row>
        <row r="4">
          <cell r="C4" t="str">
            <v>Unrelated party</v>
          </cell>
          <cell r="D4" t="str">
            <v>Related party</v>
          </cell>
          <cell r="E4" t="str">
            <v>Total</v>
          </cell>
        </row>
        <row r="5">
          <cell r="B5" t="str">
            <v>1</v>
          </cell>
          <cell r="C5" t="str">
            <v>2</v>
          </cell>
          <cell r="D5" t="str">
            <v>3</v>
          </cell>
          <cell r="E5" t="str">
            <v>4</v>
          </cell>
          <cell r="F5" t="str">
            <v>5</v>
          </cell>
          <cell r="G5" t="str">
            <v>6</v>
          </cell>
          <cell r="H5" t="str">
            <v>7</v>
          </cell>
          <cell r="I5" t="str">
            <v>8</v>
          </cell>
          <cell r="J5" t="str">
            <v>9</v>
          </cell>
          <cell r="K5" t="str">
            <v>10</v>
          </cell>
          <cell r="L5" t="str">
            <v>11</v>
          </cell>
        </row>
        <row r="6">
          <cell r="A6" t="str">
            <v>All jurisdictions</v>
          </cell>
          <cell r="B6">
            <v>1698</v>
          </cell>
          <cell r="C6">
            <v>16710913883.756001</v>
          </cell>
          <cell r="D6">
            <v>6770544634.5209999</v>
          </cell>
          <cell r="E6">
            <v>23481458518.277</v>
          </cell>
          <cell r="F6">
            <v>2229047301.3660002</v>
          </cell>
          <cell r="G6">
            <v>328978522.75700003</v>
          </cell>
          <cell r="H6">
            <v>294175251.82700002</v>
          </cell>
          <cell r="I6">
            <v>28870671679.782001</v>
          </cell>
          <cell r="J6">
            <v>13644307705.952</v>
          </cell>
          <cell r="K6">
            <v>38868.129000000001</v>
          </cell>
          <cell r="L6">
            <v>8104218580.3620005</v>
          </cell>
          <cell r="N6">
            <v>0.13197353490288166</v>
          </cell>
        </row>
        <row r="7">
          <cell r="A7" t="str">
            <v>United States</v>
          </cell>
          <cell r="B7">
            <v>1627</v>
          </cell>
          <cell r="C7">
            <v>11679730841.870001</v>
          </cell>
          <cell r="D7">
            <v>3496628029.007</v>
          </cell>
          <cell r="E7">
            <v>15176358870.877001</v>
          </cell>
          <cell r="F7">
            <v>1295596596.3499999</v>
          </cell>
          <cell r="G7">
            <v>203694031.65200001</v>
          </cell>
          <cell r="H7">
            <v>165944553.28099999</v>
          </cell>
          <cell r="I7">
            <v>15339861226.24</v>
          </cell>
          <cell r="J7">
            <v>9565197540.0739994</v>
          </cell>
          <cell r="K7">
            <v>23958.116000000002</v>
          </cell>
          <cell r="L7">
            <v>5871941485.8079996</v>
          </cell>
          <cell r="N7">
            <v>0.12808350511918973</v>
          </cell>
        </row>
        <row r="8">
          <cell r="A8" t="str">
            <v>Stateless entities and other country</v>
          </cell>
          <cell r="B8">
            <v>628</v>
          </cell>
          <cell r="C8">
            <v>661255303.06599998</v>
          </cell>
          <cell r="D8">
            <v>157247857.917</v>
          </cell>
          <cell r="E8">
            <v>818503160.98300004</v>
          </cell>
          <cell r="F8">
            <v>164969526.72</v>
          </cell>
          <cell r="G8">
            <v>1417393.8629999999</v>
          </cell>
          <cell r="H8">
            <v>16689454.699999999</v>
          </cell>
          <cell r="I8">
            <v>1601759071.9719999</v>
          </cell>
          <cell r="J8">
            <v>694378908.36800003</v>
          </cell>
          <cell r="K8">
            <v>1077.7919999999999</v>
          </cell>
          <cell r="L8">
            <v>446197900.62900001</v>
          </cell>
          <cell r="N8">
            <v>0.10116689446728383</v>
          </cell>
        </row>
        <row r="9">
          <cell r="A9" t="str">
            <v>Africa, total</v>
          </cell>
          <cell r="B9">
            <v>618</v>
          </cell>
          <cell r="C9">
            <v>51537111.509000003</v>
          </cell>
          <cell r="D9">
            <v>29939178.313000001</v>
          </cell>
          <cell r="E9">
            <v>81476289.821999997</v>
          </cell>
          <cell r="F9">
            <v>11553267.489</v>
          </cell>
          <cell r="G9">
            <v>6518773.9960000003</v>
          </cell>
          <cell r="H9">
            <v>6490746.3839999996</v>
          </cell>
          <cell r="I9">
            <v>58916002.207000002</v>
          </cell>
          <cell r="J9">
            <v>30696740.794</v>
          </cell>
          <cell r="K9">
            <v>281.72500000000002</v>
          </cell>
          <cell r="L9">
            <v>48680606.200999998</v>
          </cell>
          <cell r="N9">
            <v>0.56181044801221081</v>
          </cell>
        </row>
        <row r="10">
          <cell r="A10" t="str">
            <v>Algeria</v>
          </cell>
          <cell r="B10">
            <v>45</v>
          </cell>
          <cell r="C10">
            <v>1802398.2039999999</v>
          </cell>
          <cell r="D10">
            <v>716469.26399999997</v>
          </cell>
          <cell r="E10">
            <v>2518867.4679999999</v>
          </cell>
          <cell r="F10">
            <v>448113.85399999999</v>
          </cell>
          <cell r="G10">
            <v>746967.84600000002</v>
          </cell>
          <cell r="H10">
            <v>706234.24399999995</v>
          </cell>
          <cell r="I10">
            <v>788039.77800000005</v>
          </cell>
          <cell r="J10">
            <v>12828216.953</v>
          </cell>
          <cell r="K10">
            <v>4.0670000000000002</v>
          </cell>
          <cell r="L10">
            <v>1048273.228</v>
          </cell>
          <cell r="N10">
            <v>1.5760151972449394</v>
          </cell>
        </row>
        <row r="11">
          <cell r="A11" t="str">
            <v>Angola</v>
          </cell>
          <cell r="B11">
            <v>35</v>
          </cell>
          <cell r="C11">
            <v>329262.44099999999</v>
          </cell>
          <cell r="D11">
            <v>2710007.46</v>
          </cell>
          <cell r="E11">
            <v>3039269.9010000001</v>
          </cell>
          <cell r="F11">
            <v>425690.495</v>
          </cell>
          <cell r="G11">
            <v>532449.91299999994</v>
          </cell>
          <cell r="H11">
            <v>521566.48700000002</v>
          </cell>
          <cell r="I11">
            <v>1418236.392</v>
          </cell>
          <cell r="J11">
            <v>-1574331.5619999999</v>
          </cell>
          <cell r="K11">
            <v>4.57</v>
          </cell>
          <cell r="L11">
            <v>4656744.3689999999</v>
          </cell>
          <cell r="N11">
            <v>1.2252246482506028</v>
          </cell>
        </row>
        <row r="12">
          <cell r="A12" t="str">
            <v>Botswana</v>
          </cell>
          <cell r="B12">
            <v>17</v>
          </cell>
          <cell r="C12">
            <v>402780.36</v>
          </cell>
          <cell r="D12">
            <v>68636.024000000005</v>
          </cell>
          <cell r="E12">
            <v>471416.38400000002</v>
          </cell>
          <cell r="F12">
            <v>26608.272000000001</v>
          </cell>
          <cell r="G12">
            <v>3777.402</v>
          </cell>
          <cell r="H12">
            <v>4664.9350000000004</v>
          </cell>
          <cell r="I12">
            <v>37112.745999999999</v>
          </cell>
          <cell r="J12">
            <v>67460.618000000002</v>
          </cell>
          <cell r="K12">
            <v>1.4850000000000001</v>
          </cell>
          <cell r="L12">
            <v>67425.714000000007</v>
          </cell>
          <cell r="N12">
            <v>0.17531897599363086</v>
          </cell>
        </row>
        <row r="13">
          <cell r="A13" t="str">
            <v>Cameroon</v>
          </cell>
          <cell r="B13">
            <v>14</v>
          </cell>
          <cell r="C13">
            <v>78546.668999999994</v>
          </cell>
          <cell r="D13">
            <v>30923.625</v>
          </cell>
          <cell r="E13">
            <v>109470.29399999999</v>
          </cell>
          <cell r="F13">
            <v>38962.838000000003</v>
          </cell>
          <cell r="G13">
            <v>5909.1559999999999</v>
          </cell>
          <cell r="H13">
            <v>8853.6090000000004</v>
          </cell>
          <cell r="I13">
            <v>46000.370999999999</v>
          </cell>
          <cell r="J13">
            <v>-1509.6310000000001</v>
          </cell>
          <cell r="K13">
            <v>0.30599999999999999</v>
          </cell>
          <cell r="L13">
            <v>24275.716</v>
          </cell>
          <cell r="N13">
            <v>0.22723213848026161</v>
          </cell>
        </row>
        <row r="14">
          <cell r="A14" t="str">
            <v>Congo (Brazzaville)</v>
          </cell>
          <cell r="B14">
            <v>28</v>
          </cell>
          <cell r="C14">
            <v>114206.912</v>
          </cell>
          <cell r="D14">
            <v>1093979.48</v>
          </cell>
          <cell r="E14">
            <v>1208186.392</v>
          </cell>
          <cell r="F14">
            <v>52810.684000000001</v>
          </cell>
          <cell r="G14">
            <v>4572.9769999999999</v>
          </cell>
          <cell r="H14">
            <v>16951.107</v>
          </cell>
          <cell r="I14">
            <v>718026.40800000005</v>
          </cell>
          <cell r="J14">
            <v>-604157.51199999999</v>
          </cell>
          <cell r="K14">
            <v>1.649</v>
          </cell>
          <cell r="L14">
            <v>242822.36900000001</v>
          </cell>
          <cell r="N14">
            <v>0.32097874361937823</v>
          </cell>
        </row>
        <row r="15">
          <cell r="A15" t="str">
            <v>Cote D'Ivoire (Ivory Coast)</v>
          </cell>
          <cell r="B15">
            <v>30</v>
          </cell>
          <cell r="C15">
            <v>206618.307</v>
          </cell>
          <cell r="D15">
            <v>905407.62100000004</v>
          </cell>
          <cell r="E15">
            <v>1112025.9280000001</v>
          </cell>
          <cell r="F15">
            <v>49384.315000000002</v>
          </cell>
          <cell r="G15">
            <v>13850.95</v>
          </cell>
          <cell r="H15">
            <v>13891.165000000001</v>
          </cell>
          <cell r="I15">
            <v>736682.68200000003</v>
          </cell>
          <cell r="J15">
            <v>-579797.81599999999</v>
          </cell>
          <cell r="K15">
            <v>3.6</v>
          </cell>
          <cell r="L15">
            <v>267513.70199999999</v>
          </cell>
          <cell r="N15">
            <v>0.28128698352908205</v>
          </cell>
        </row>
        <row r="16">
          <cell r="A16" t="str">
            <v>Egypt</v>
          </cell>
          <cell r="B16">
            <v>166</v>
          </cell>
          <cell r="C16">
            <v>10151033.392999999</v>
          </cell>
          <cell r="D16">
            <v>1777585.557</v>
          </cell>
          <cell r="E16">
            <v>11928618.949999999</v>
          </cell>
          <cell r="F16">
            <v>1896625.075</v>
          </cell>
          <cell r="G16">
            <v>726498.13899999997</v>
          </cell>
          <cell r="H16">
            <v>580148.23100000003</v>
          </cell>
          <cell r="I16">
            <v>1920952.851</v>
          </cell>
          <cell r="J16">
            <v>12219689.805</v>
          </cell>
          <cell r="K16">
            <v>51.692999999999998</v>
          </cell>
          <cell r="L16">
            <v>5148099.2359999996</v>
          </cell>
          <cell r="N16">
            <v>0.30588450962033181</v>
          </cell>
        </row>
        <row r="17">
          <cell r="A17" t="str">
            <v>Equatorial Guinea</v>
          </cell>
          <cell r="B17">
            <v>20</v>
          </cell>
          <cell r="C17">
            <v>69996.557000000001</v>
          </cell>
          <cell r="D17">
            <v>5645.9489999999996</v>
          </cell>
          <cell r="E17">
            <v>75642.505999999994</v>
          </cell>
          <cell r="F17">
            <v>-7045.1419999999998</v>
          </cell>
          <cell r="G17">
            <v>12412.004999999999</v>
          </cell>
          <cell r="H17">
            <v>8696.8739999999998</v>
          </cell>
          <cell r="I17">
            <v>289297.89899999998</v>
          </cell>
          <cell r="J17">
            <v>-441949.49200000003</v>
          </cell>
          <cell r="K17">
            <v>0.13600000000000001</v>
          </cell>
          <cell r="L17">
            <v>29217.884999999998</v>
          </cell>
          <cell r="N17">
            <v>-1.2344497811399686</v>
          </cell>
        </row>
        <row r="18">
          <cell r="A18" t="str">
            <v>Gabon</v>
          </cell>
          <cell r="B18">
            <v>24</v>
          </cell>
          <cell r="C18">
            <v>81922.010999999999</v>
          </cell>
          <cell r="D18">
            <v>141187.81400000001</v>
          </cell>
          <cell r="E18">
            <v>223109.82500000001</v>
          </cell>
          <cell r="F18">
            <v>149669.609</v>
          </cell>
          <cell r="G18">
            <v>11575.402</v>
          </cell>
          <cell r="H18">
            <v>9458.86</v>
          </cell>
          <cell r="I18">
            <v>277480.53200000001</v>
          </cell>
          <cell r="J18">
            <v>-312747.16600000003</v>
          </cell>
          <cell r="K18">
            <v>0.128</v>
          </cell>
          <cell r="L18">
            <v>24160.785</v>
          </cell>
          <cell r="N18">
            <v>6.319826759218701E-2</v>
          </cell>
        </row>
        <row r="19">
          <cell r="A19" t="str">
            <v>Ghana</v>
          </cell>
          <cell r="B19">
            <v>70</v>
          </cell>
          <cell r="C19">
            <v>2827421.4410000001</v>
          </cell>
          <cell r="D19">
            <v>895415.95499999996</v>
          </cell>
          <cell r="E19">
            <v>3722837.3960000002</v>
          </cell>
          <cell r="F19">
            <v>596942.92700000003</v>
          </cell>
          <cell r="G19">
            <v>328015.64399999997</v>
          </cell>
          <cell r="H19">
            <v>364336.99099999998</v>
          </cell>
          <cell r="I19">
            <v>734328.70700000005</v>
          </cell>
          <cell r="J19">
            <v>3457661.9649999999</v>
          </cell>
          <cell r="K19">
            <v>7.7450000000000001</v>
          </cell>
          <cell r="L19">
            <v>4796674.7290000003</v>
          </cell>
          <cell r="N19">
            <v>0.61033806503247168</v>
          </cell>
        </row>
        <row r="20">
          <cell r="A20" t="str">
            <v>Kenya</v>
          </cell>
          <cell r="B20">
            <v>117</v>
          </cell>
          <cell r="C20">
            <v>885662.05900000001</v>
          </cell>
          <cell r="D20">
            <v>327691.06900000002</v>
          </cell>
          <cell r="E20">
            <v>1213353.128</v>
          </cell>
          <cell r="F20">
            <v>135660.861</v>
          </cell>
          <cell r="G20">
            <v>53114.688000000002</v>
          </cell>
          <cell r="H20">
            <v>45943.843999999997</v>
          </cell>
          <cell r="I20">
            <v>524847.33200000005</v>
          </cell>
          <cell r="J20">
            <v>-245048.58300000001</v>
          </cell>
          <cell r="K20">
            <v>4.6399999999999997</v>
          </cell>
          <cell r="L20">
            <v>459011.33199999999</v>
          </cell>
          <cell r="N20">
            <v>0.33866690555649648</v>
          </cell>
        </row>
        <row r="21">
          <cell r="A21" t="str">
            <v>Libya</v>
          </cell>
          <cell r="B21">
            <v>24</v>
          </cell>
          <cell r="C21">
            <v>1703483.889</v>
          </cell>
          <cell r="D21">
            <v>159076.601</v>
          </cell>
          <cell r="E21">
            <v>1862560.49</v>
          </cell>
          <cell r="F21">
            <v>1536366.07</v>
          </cell>
          <cell r="G21">
            <v>1262559.652</v>
          </cell>
          <cell r="H21">
            <v>1281957.568</v>
          </cell>
          <cell r="I21">
            <v>990001.78300000005</v>
          </cell>
          <cell r="J21">
            <v>-1040116.787</v>
          </cell>
          <cell r="K21">
            <v>0.13100000000000001</v>
          </cell>
          <cell r="L21">
            <v>1024300.5919999999</v>
          </cell>
          <cell r="N21">
            <v>0.83440892963745283</v>
          </cell>
        </row>
        <row r="22">
          <cell r="A22" t="str">
            <v>Mauritius</v>
          </cell>
          <cell r="B22">
            <v>213</v>
          </cell>
          <cell r="C22">
            <v>561135.64399999997</v>
          </cell>
          <cell r="D22">
            <v>1620673.2779999999</v>
          </cell>
          <cell r="E22">
            <v>2181808.9219999998</v>
          </cell>
          <cell r="F22">
            <v>629724.34</v>
          </cell>
          <cell r="G22">
            <v>109790.033</v>
          </cell>
          <cell r="H22">
            <v>90141.75</v>
          </cell>
          <cell r="I22">
            <v>18539868.243000001</v>
          </cell>
          <cell r="J22">
            <v>2939177.04</v>
          </cell>
          <cell r="K22">
            <v>2.8250000000000002</v>
          </cell>
          <cell r="L22">
            <v>250903.25700000001</v>
          </cell>
          <cell r="N22">
            <v>0.14314477664941458</v>
          </cell>
        </row>
        <row r="23">
          <cell r="A23" t="str">
            <v>Morocco</v>
          </cell>
          <cell r="B23">
            <v>150</v>
          </cell>
          <cell r="C23">
            <v>1900418.6129999999</v>
          </cell>
          <cell r="D23">
            <v>873527.34199999995</v>
          </cell>
          <cell r="E23">
            <v>2773945.9550000001</v>
          </cell>
          <cell r="F23">
            <v>160277.34099999999</v>
          </cell>
          <cell r="G23">
            <v>60243.144</v>
          </cell>
          <cell r="H23">
            <v>56205.932000000001</v>
          </cell>
          <cell r="I23">
            <v>853405.59199999995</v>
          </cell>
          <cell r="J23">
            <v>-434308.62900000002</v>
          </cell>
          <cell r="K23">
            <v>30.196000000000002</v>
          </cell>
          <cell r="L23">
            <v>746060.20299999998</v>
          </cell>
          <cell r="N23">
            <v>0.35067921422529719</v>
          </cell>
        </row>
        <row r="24">
          <cell r="A24" t="str">
            <v>Mozambique</v>
          </cell>
          <cell r="B24">
            <v>36</v>
          </cell>
          <cell r="C24">
            <v>248098.337</v>
          </cell>
          <cell r="D24">
            <v>206235.177</v>
          </cell>
          <cell r="E24">
            <v>454333.51400000002</v>
          </cell>
          <cell r="F24">
            <v>561.63800000000003</v>
          </cell>
          <cell r="G24">
            <v>884729.07200000004</v>
          </cell>
          <cell r="H24">
            <v>884252.08600000001</v>
          </cell>
          <cell r="I24">
            <v>410569.17599999998</v>
          </cell>
          <cell r="J24">
            <v>414571.98100000003</v>
          </cell>
          <cell r="K24">
            <v>4.9290000000000003</v>
          </cell>
          <cell r="L24">
            <v>339595.49300000002</v>
          </cell>
          <cell r="N24">
            <v>1574.4164141315223</v>
          </cell>
        </row>
        <row r="25">
          <cell r="A25" t="str">
            <v>Namibia</v>
          </cell>
          <cell r="B25">
            <v>27</v>
          </cell>
          <cell r="C25">
            <v>191103.93400000001</v>
          </cell>
          <cell r="D25">
            <v>4293.2569999999996</v>
          </cell>
          <cell r="E25">
            <v>195397.19099999999</v>
          </cell>
          <cell r="F25">
            <v>21752.404999999999</v>
          </cell>
          <cell r="G25">
            <v>8899.9120000000003</v>
          </cell>
          <cell r="H25">
            <v>9042.4599999999991</v>
          </cell>
          <cell r="I25">
            <v>17244.743999999999</v>
          </cell>
          <cell r="J25">
            <v>22806.323</v>
          </cell>
          <cell r="K25">
            <v>1.101</v>
          </cell>
          <cell r="L25">
            <v>121257.37300000001</v>
          </cell>
          <cell r="N25">
            <v>0.41569932152329819</v>
          </cell>
        </row>
        <row r="26">
          <cell r="A26" t="str">
            <v>Nigeria</v>
          </cell>
          <cell r="B26">
            <v>121</v>
          </cell>
          <cell r="C26">
            <v>3341730.2680000002</v>
          </cell>
          <cell r="D26">
            <v>4681305.83</v>
          </cell>
          <cell r="E26">
            <v>8023036.0980000002</v>
          </cell>
          <cell r="F26">
            <v>1782920.96</v>
          </cell>
          <cell r="G26">
            <v>975554.89399999997</v>
          </cell>
          <cell r="H26">
            <v>1065820.496</v>
          </cell>
          <cell r="I26">
            <v>3959806.4959999998</v>
          </cell>
          <cell r="J26">
            <v>800015.53500000003</v>
          </cell>
          <cell r="K26">
            <v>10.266</v>
          </cell>
          <cell r="L26">
            <v>16672376.218</v>
          </cell>
          <cell r="N26">
            <v>0.59779458535279095</v>
          </cell>
        </row>
        <row r="27">
          <cell r="A27" t="str">
            <v>Senegal</v>
          </cell>
          <cell r="B27">
            <v>26</v>
          </cell>
          <cell r="C27">
            <v>227485.728</v>
          </cell>
          <cell r="D27">
            <v>37405.591</v>
          </cell>
          <cell r="E27">
            <v>264891.31900000002</v>
          </cell>
          <cell r="F27">
            <v>17031.939999999999</v>
          </cell>
          <cell r="G27">
            <v>6196.0529999999999</v>
          </cell>
          <cell r="H27">
            <v>9853.8269999999993</v>
          </cell>
          <cell r="I27">
            <v>56237.050999999999</v>
          </cell>
          <cell r="J27">
            <v>22129.991999999998</v>
          </cell>
          <cell r="K27">
            <v>0.75900000000000001</v>
          </cell>
          <cell r="L27">
            <v>57912.771999999997</v>
          </cell>
          <cell r="N27">
            <v>0.57854988920815831</v>
          </cell>
        </row>
        <row r="28">
          <cell r="A28" t="str">
            <v>South Africa</v>
          </cell>
          <cell r="B28">
            <v>443</v>
          </cell>
          <cell r="C28">
            <v>23086129.127999999</v>
          </cell>
          <cell r="D28">
            <v>11424983.413000001</v>
          </cell>
          <cell r="E28">
            <v>34511112.541000001</v>
          </cell>
          <cell r="F28">
            <v>2127775.5010000002</v>
          </cell>
          <cell r="G28">
            <v>431092.049</v>
          </cell>
          <cell r="H28">
            <v>454134.07500000001</v>
          </cell>
          <cell r="I28">
            <v>24528780.16</v>
          </cell>
          <cell r="J28">
            <v>1202809.7450000001</v>
          </cell>
          <cell r="K28">
            <v>121.113</v>
          </cell>
          <cell r="L28">
            <v>8065765.5420000004</v>
          </cell>
          <cell r="N28">
            <v>0.21343138634060246</v>
          </cell>
        </row>
        <row r="29">
          <cell r="A29" t="str">
            <v>Tanzania</v>
          </cell>
          <cell r="B29">
            <v>38</v>
          </cell>
          <cell r="C29">
            <v>168355.49</v>
          </cell>
          <cell r="D29">
            <v>150931.535</v>
          </cell>
          <cell r="E29">
            <v>319287.02500000002</v>
          </cell>
          <cell r="F29">
            <v>31050.39</v>
          </cell>
          <cell r="G29">
            <v>11302.163</v>
          </cell>
          <cell r="H29">
            <v>5730.8370000000004</v>
          </cell>
          <cell r="I29">
            <v>145245.777</v>
          </cell>
          <cell r="J29">
            <v>-106634.356</v>
          </cell>
          <cell r="K29">
            <v>1.988</v>
          </cell>
          <cell r="L29">
            <v>187143.01300000001</v>
          </cell>
          <cell r="N29">
            <v>0.18456570110713588</v>
          </cell>
        </row>
        <row r="30">
          <cell r="A30" t="str">
            <v>Tunisia</v>
          </cell>
          <cell r="B30">
            <v>63</v>
          </cell>
          <cell r="C30">
            <v>244813.01800000001</v>
          </cell>
          <cell r="D30">
            <v>275489.77299999999</v>
          </cell>
          <cell r="E30">
            <v>520302.79100000003</v>
          </cell>
          <cell r="F30">
            <v>108903.83</v>
          </cell>
          <cell r="G30">
            <v>12566.449000000001</v>
          </cell>
          <cell r="H30">
            <v>22067.371999999999</v>
          </cell>
          <cell r="I30">
            <v>288474.52100000001</v>
          </cell>
          <cell r="J30">
            <v>-73156.33</v>
          </cell>
          <cell r="K30">
            <v>11.099</v>
          </cell>
          <cell r="L30">
            <v>81898.22</v>
          </cell>
          <cell r="N30">
            <v>0.20263173480675564</v>
          </cell>
        </row>
        <row r="31">
          <cell r="A31" t="str">
            <v>Uganda</v>
          </cell>
          <cell r="B31">
            <v>28</v>
          </cell>
          <cell r="C31">
            <v>223367.76500000001</v>
          </cell>
          <cell r="D31">
            <v>66209.144</v>
          </cell>
          <cell r="E31">
            <v>289576.90899999999</v>
          </cell>
          <cell r="F31">
            <v>46344.214999999997</v>
          </cell>
          <cell r="G31">
            <v>7553.25</v>
          </cell>
          <cell r="H31">
            <v>7466.1480000000001</v>
          </cell>
          <cell r="I31">
            <v>43387.580999999998</v>
          </cell>
          <cell r="J31">
            <v>69729.043000000005</v>
          </cell>
          <cell r="K31">
            <v>1.496</v>
          </cell>
          <cell r="L31">
            <v>140838.84</v>
          </cell>
          <cell r="N31">
            <v>0.16110204909070097</v>
          </cell>
        </row>
        <row r="32">
          <cell r="A32" t="str">
            <v>Zambia</v>
          </cell>
          <cell r="B32">
            <v>29</v>
          </cell>
          <cell r="C32">
            <v>322388.87</v>
          </cell>
          <cell r="D32">
            <v>64375.563999999998</v>
          </cell>
          <cell r="E32">
            <v>386764.43400000001</v>
          </cell>
          <cell r="F32">
            <v>-67450.142000000007</v>
          </cell>
          <cell r="G32">
            <v>8794.5959999999995</v>
          </cell>
          <cell r="H32">
            <v>10818.759</v>
          </cell>
          <cell r="I32">
            <v>291321.90600000002</v>
          </cell>
          <cell r="J32">
            <v>-291244.15600000002</v>
          </cell>
          <cell r="K32">
            <v>2.5270000000000001</v>
          </cell>
          <cell r="L32">
            <v>210424.14499999999</v>
          </cell>
          <cell r="N32">
            <v>-0.16039638582228632</v>
          </cell>
        </row>
        <row r="33">
          <cell r="A33" t="str">
            <v>Zimbabwe</v>
          </cell>
          <cell r="B33">
            <v>26</v>
          </cell>
          <cell r="C33">
            <v>54388.932000000001</v>
          </cell>
          <cell r="D33">
            <v>263840.36499999999</v>
          </cell>
          <cell r="E33">
            <v>318229.29700000002</v>
          </cell>
          <cell r="F33">
            <v>30013.606</v>
          </cell>
          <cell r="G33">
            <v>8306.893</v>
          </cell>
          <cell r="H33">
            <v>7562.25</v>
          </cell>
          <cell r="I33">
            <v>23930.555</v>
          </cell>
          <cell r="J33">
            <v>187236.56099999999</v>
          </cell>
          <cell r="K33">
            <v>2.605</v>
          </cell>
          <cell r="L33">
            <v>178730.47399999999</v>
          </cell>
          <cell r="N33">
            <v>0.251960727411428</v>
          </cell>
        </row>
        <row r="34">
          <cell r="A34" t="str">
            <v>Africa, other countries</v>
          </cell>
          <cell r="B34">
            <v>71</v>
          </cell>
          <cell r="C34">
            <v>1738271.7620000001</v>
          </cell>
          <cell r="D34">
            <v>1628524.298</v>
          </cell>
          <cell r="E34">
            <v>3366796.06</v>
          </cell>
          <cell r="F34">
            <v>1010904.1</v>
          </cell>
          <cell r="G34">
            <v>289838.40100000001</v>
          </cell>
          <cell r="H34">
            <v>305315.97600000002</v>
          </cell>
          <cell r="I34">
            <v>2121287.2760000001</v>
          </cell>
          <cell r="J34">
            <v>786199.33700000006</v>
          </cell>
          <cell r="K34">
            <v>5.0970000000000004</v>
          </cell>
          <cell r="L34">
            <v>3604834.7319999998</v>
          </cell>
          <cell r="N34">
            <v>0.30202269038180773</v>
          </cell>
        </row>
        <row r="35">
          <cell r="A35" t="str">
            <v>Americas, total</v>
          </cell>
          <cell r="B35">
            <v>1553</v>
          </cell>
          <cell r="C35">
            <v>840723931.78299999</v>
          </cell>
          <cell r="D35">
            <v>559701665.20099998</v>
          </cell>
          <cell r="E35">
            <v>1400425596.984</v>
          </cell>
          <cell r="F35">
            <v>209094463.22099999</v>
          </cell>
          <cell r="G35">
            <v>21941503.27</v>
          </cell>
          <cell r="H35">
            <v>20577445.956</v>
          </cell>
          <cell r="I35">
            <v>2006194901.4619999</v>
          </cell>
          <cell r="J35">
            <v>441504592.86000001</v>
          </cell>
          <cell r="K35">
            <v>3691.181</v>
          </cell>
          <cell r="L35">
            <v>416496457.24599999</v>
          </cell>
          <cell r="N35">
            <v>9.8412199151590662E-2</v>
          </cell>
        </row>
        <row r="36">
          <cell r="A36" t="str">
            <v>Argentina</v>
          </cell>
          <cell r="B36">
            <v>423</v>
          </cell>
          <cell r="C36">
            <v>22766566.482000001</v>
          </cell>
          <cell r="D36">
            <v>10153377.411</v>
          </cell>
          <cell r="E36">
            <v>32919943.894000001</v>
          </cell>
          <cell r="F36">
            <v>1438981.213</v>
          </cell>
          <cell r="G36">
            <v>871382.44900000002</v>
          </cell>
          <cell r="H36">
            <v>1169714.727</v>
          </cell>
          <cell r="I36">
            <v>13652712.437000001</v>
          </cell>
          <cell r="J36">
            <v>3537977.0150000001</v>
          </cell>
          <cell r="K36">
            <v>113.202</v>
          </cell>
          <cell r="L36">
            <v>12461248.206</v>
          </cell>
          <cell r="N36">
            <v>0.81287699688682447</v>
          </cell>
        </row>
        <row r="37">
          <cell r="A37" t="str">
            <v>Aruba</v>
          </cell>
          <cell r="B37">
            <v>31</v>
          </cell>
          <cell r="C37">
            <v>341438.55800000002</v>
          </cell>
          <cell r="D37">
            <v>28139.378000000001</v>
          </cell>
          <cell r="E37">
            <v>369577.93599999999</v>
          </cell>
          <cell r="F37">
            <v>41199.243999999999</v>
          </cell>
          <cell r="G37">
            <v>6451.5720000000001</v>
          </cell>
          <cell r="H37">
            <v>8464.0139999999992</v>
          </cell>
          <cell r="I37">
            <v>1136370.6270000001</v>
          </cell>
          <cell r="J37">
            <v>-885344.23899999994</v>
          </cell>
          <cell r="K37">
            <v>0.63900000000000001</v>
          </cell>
          <cell r="L37">
            <v>40863.159</v>
          </cell>
          <cell r="N37">
            <v>0.20544100275238059</v>
          </cell>
        </row>
        <row r="38">
          <cell r="A38" t="str">
            <v>Bahamas</v>
          </cell>
          <cell r="B38">
            <v>184</v>
          </cell>
          <cell r="C38">
            <v>408330.435</v>
          </cell>
          <cell r="D38">
            <v>32599034.491999999</v>
          </cell>
          <cell r="E38">
            <v>33007364.927000001</v>
          </cell>
          <cell r="F38">
            <v>11052548.706</v>
          </cell>
          <cell r="G38">
            <v>40494.502999999997</v>
          </cell>
          <cell r="H38">
            <v>3278.509</v>
          </cell>
          <cell r="I38">
            <v>228371279.10699999</v>
          </cell>
          <cell r="J38">
            <v>25531327.344000001</v>
          </cell>
          <cell r="K38">
            <v>0.77</v>
          </cell>
          <cell r="L38">
            <v>27814213.984999999</v>
          </cell>
          <cell r="N38">
            <v>2.9662922889633816E-4</v>
          </cell>
        </row>
        <row r="39">
          <cell r="A39" t="str">
            <v>Barbados</v>
          </cell>
          <cell r="B39">
            <v>191</v>
          </cell>
          <cell r="C39">
            <v>780724.11100000003</v>
          </cell>
          <cell r="D39">
            <v>29660566.206999999</v>
          </cell>
          <cell r="E39">
            <v>30441290.318</v>
          </cell>
          <cell r="F39">
            <v>8816919.2119999994</v>
          </cell>
          <cell r="G39">
            <v>47356.184999999998</v>
          </cell>
          <cell r="H39">
            <v>125568.917</v>
          </cell>
          <cell r="I39">
            <v>156540991.42699999</v>
          </cell>
          <cell r="J39">
            <v>8892638.7359999996</v>
          </cell>
          <cell r="K39">
            <v>0.73299999999999998</v>
          </cell>
          <cell r="L39">
            <v>4543143.5719999997</v>
          </cell>
          <cell r="N39">
            <v>1.4241813266146099E-2</v>
          </cell>
        </row>
        <row r="40">
          <cell r="A40" t="str">
            <v>Bermuda</v>
          </cell>
          <cell r="B40">
            <v>268</v>
          </cell>
          <cell r="C40">
            <v>12876593.187999999</v>
          </cell>
          <cell r="D40">
            <v>70287507.599999994</v>
          </cell>
          <cell r="E40">
            <v>83164100.788000003</v>
          </cell>
          <cell r="F40">
            <v>30707616.745999999</v>
          </cell>
          <cell r="G40">
            <v>291221.54200000002</v>
          </cell>
          <cell r="H40">
            <v>1053800.723</v>
          </cell>
          <cell r="I40">
            <v>491583053.87300003</v>
          </cell>
          <cell r="J40">
            <v>222496781.23699999</v>
          </cell>
          <cell r="K40">
            <v>0.85599999999999998</v>
          </cell>
          <cell r="L40">
            <v>10661103.648</v>
          </cell>
          <cell r="N40">
            <v>3.4317242256752763E-2</v>
          </cell>
        </row>
        <row r="41">
          <cell r="A41" t="str">
            <v>Bolivia</v>
          </cell>
          <cell r="B41">
            <v>53</v>
          </cell>
          <cell r="C41">
            <v>388458.42</v>
          </cell>
          <cell r="D41">
            <v>74751.244000000006</v>
          </cell>
          <cell r="E41">
            <v>463209.66399999999</v>
          </cell>
          <cell r="F41">
            <v>-20301.974999999999</v>
          </cell>
          <cell r="G41">
            <v>9148.6029999999992</v>
          </cell>
          <cell r="H41">
            <v>7895.9250000000002</v>
          </cell>
          <cell r="I41">
            <v>161994.601</v>
          </cell>
          <cell r="J41">
            <v>160888.774</v>
          </cell>
          <cell r="K41">
            <v>1.736</v>
          </cell>
          <cell r="L41">
            <v>339292.592</v>
          </cell>
          <cell r="N41">
            <v>-0.38892398399663092</v>
          </cell>
        </row>
        <row r="42">
          <cell r="A42" t="str">
            <v>Brazil</v>
          </cell>
          <cell r="B42">
            <v>786</v>
          </cell>
          <cell r="C42">
            <v>127477488.90800001</v>
          </cell>
          <cell r="D42">
            <v>30055092.07</v>
          </cell>
          <cell r="E42">
            <v>157532580.979</v>
          </cell>
          <cell r="F42">
            <v>6981402.5609999998</v>
          </cell>
          <cell r="G42">
            <v>3634120.7310000001</v>
          </cell>
          <cell r="H42">
            <v>3814760.0959999999</v>
          </cell>
          <cell r="I42">
            <v>133133859.939</v>
          </cell>
          <cell r="J42">
            <v>-4254409.3720000004</v>
          </cell>
          <cell r="K42">
            <v>515.471</v>
          </cell>
          <cell r="L42">
            <v>48897968.347000003</v>
          </cell>
          <cell r="N42">
            <v>0.54641743727976377</v>
          </cell>
        </row>
        <row r="43">
          <cell r="A43" t="str">
            <v>British Virgin Islands</v>
          </cell>
          <cell r="B43">
            <v>164</v>
          </cell>
          <cell r="C43">
            <v>1518882.476</v>
          </cell>
          <cell r="D43">
            <v>6885666.1140000001</v>
          </cell>
          <cell r="E43">
            <v>8404548.5899999999</v>
          </cell>
          <cell r="F43">
            <v>3235679.9419999998</v>
          </cell>
          <cell r="G43">
            <v>19047.401000000002</v>
          </cell>
          <cell r="H43">
            <v>44667.896999999997</v>
          </cell>
          <cell r="I43">
            <v>31181384.864</v>
          </cell>
          <cell r="J43">
            <v>-6681108.307</v>
          </cell>
          <cell r="K43">
            <v>0.65200000000000002</v>
          </cell>
          <cell r="L43">
            <v>584198.76599999995</v>
          </cell>
          <cell r="N43">
            <v>1.3804794602889681E-2</v>
          </cell>
        </row>
        <row r="44">
          <cell r="A44" t="str">
            <v>Canada</v>
          </cell>
          <cell r="B44">
            <v>1314</v>
          </cell>
          <cell r="C44">
            <v>380754602.34100002</v>
          </cell>
          <cell r="D44">
            <v>111926925.97499999</v>
          </cell>
          <cell r="E44">
            <v>492681528.31599998</v>
          </cell>
          <cell r="F44">
            <v>25116145.340999998</v>
          </cell>
          <cell r="G44">
            <v>7843575.7819999997</v>
          </cell>
          <cell r="H44">
            <v>5025751.5029999996</v>
          </cell>
          <cell r="I44">
            <v>303771782.15600002</v>
          </cell>
          <cell r="J44">
            <v>72932944.618000001</v>
          </cell>
          <cell r="K44">
            <v>979.44299999999998</v>
          </cell>
          <cell r="L44">
            <v>164996895.234</v>
          </cell>
          <cell r="N44">
            <v>0.20010043080917686</v>
          </cell>
        </row>
        <row r="45">
          <cell r="A45" t="str">
            <v>Cayman Islands</v>
          </cell>
          <cell r="B45">
            <v>400</v>
          </cell>
          <cell r="C45">
            <v>18223497.454999998</v>
          </cell>
          <cell r="D45">
            <v>53819259.211000003</v>
          </cell>
          <cell r="E45">
            <v>72042756.665999994</v>
          </cell>
          <cell r="F45">
            <v>60369016.011</v>
          </cell>
          <cell r="G45">
            <v>55456.334000000003</v>
          </cell>
          <cell r="H45">
            <v>431574.10100000002</v>
          </cell>
          <cell r="I45">
            <v>564334343.32700002</v>
          </cell>
          <cell r="J45">
            <v>81335749.983999997</v>
          </cell>
          <cell r="K45">
            <v>6.0549999999999997</v>
          </cell>
          <cell r="L45">
            <v>428872.71399999998</v>
          </cell>
          <cell r="N45">
            <v>7.1489338325700352E-3</v>
          </cell>
        </row>
        <row r="46">
          <cell r="A46" t="str">
            <v>Chile</v>
          </cell>
          <cell r="B46">
            <v>393</v>
          </cell>
          <cell r="C46">
            <v>30232296.146000002</v>
          </cell>
          <cell r="D46">
            <v>4854829.1689999998</v>
          </cell>
          <cell r="E46">
            <v>35087125.314999998</v>
          </cell>
          <cell r="F46">
            <v>2108825.4</v>
          </cell>
          <cell r="G46">
            <v>404008.59499999997</v>
          </cell>
          <cell r="H46">
            <v>530346.70299999998</v>
          </cell>
          <cell r="I46">
            <v>41675646.612000003</v>
          </cell>
          <cell r="J46">
            <v>40044.482000000004</v>
          </cell>
          <cell r="K46">
            <v>140.739</v>
          </cell>
          <cell r="L46">
            <v>19063730.443</v>
          </cell>
          <cell r="N46">
            <v>0.25148914793989108</v>
          </cell>
        </row>
        <row r="47">
          <cell r="A47" t="str">
            <v>Colombia</v>
          </cell>
          <cell r="B47">
            <v>406</v>
          </cell>
          <cell r="C47">
            <v>17370396.576000001</v>
          </cell>
          <cell r="D47">
            <v>4255469.7829999998</v>
          </cell>
          <cell r="E47">
            <v>21625866.359000001</v>
          </cell>
          <cell r="F47">
            <v>1604843.389</v>
          </cell>
          <cell r="G47">
            <v>607389.83600000001</v>
          </cell>
          <cell r="H47">
            <v>902663.09499999997</v>
          </cell>
          <cell r="I47">
            <v>7973930.25</v>
          </cell>
          <cell r="J47">
            <v>3518706.0520000001</v>
          </cell>
          <cell r="K47">
            <v>108.94799999999999</v>
          </cell>
          <cell r="L47">
            <v>9133125.9049999993</v>
          </cell>
          <cell r="N47">
            <v>0.56246179607747382</v>
          </cell>
        </row>
        <row r="48">
          <cell r="A48" t="str">
            <v>Costa Rica</v>
          </cell>
          <cell r="B48">
            <v>211</v>
          </cell>
          <cell r="C48">
            <v>7409797.0109999999</v>
          </cell>
          <cell r="D48">
            <v>7938280.5549999997</v>
          </cell>
          <cell r="E48">
            <v>15348077.566</v>
          </cell>
          <cell r="F48">
            <v>1632920.4979999999</v>
          </cell>
          <cell r="G48">
            <v>182504.72099999999</v>
          </cell>
          <cell r="H48">
            <v>138897.592</v>
          </cell>
          <cell r="I48">
            <v>5940609.9689999996</v>
          </cell>
          <cell r="J48">
            <v>-693911.62300000002</v>
          </cell>
          <cell r="K48">
            <v>106.776</v>
          </cell>
          <cell r="L48">
            <v>4345437.6449999996</v>
          </cell>
          <cell r="N48">
            <v>8.5060841706697726E-2</v>
          </cell>
        </row>
        <row r="49">
          <cell r="A49" t="str">
            <v>Curacao</v>
          </cell>
          <cell r="B49">
            <v>41</v>
          </cell>
          <cell r="C49">
            <v>194941.17300000001</v>
          </cell>
          <cell r="D49">
            <v>2159814.0780000002</v>
          </cell>
          <cell r="E49">
            <v>2354755.2510000002</v>
          </cell>
          <cell r="F49">
            <v>1644301.3419999999</v>
          </cell>
          <cell r="G49">
            <v>1765.231</v>
          </cell>
          <cell r="H49">
            <v>3910.578</v>
          </cell>
          <cell r="I49">
            <v>19296429.798999999</v>
          </cell>
          <cell r="J49">
            <v>-12676100.557</v>
          </cell>
          <cell r="K49">
            <v>0.188</v>
          </cell>
          <cell r="L49">
            <v>15202.558000000001</v>
          </cell>
          <cell r="N49">
            <v>2.3782611496524584E-3</v>
          </cell>
        </row>
        <row r="50">
          <cell r="A50" t="str">
            <v>Dominican Republic</v>
          </cell>
          <cell r="B50">
            <v>140</v>
          </cell>
          <cell r="C50">
            <v>3371304.07</v>
          </cell>
          <cell r="D50">
            <v>1402585.923</v>
          </cell>
          <cell r="E50">
            <v>4773889.9929999998</v>
          </cell>
          <cell r="F50">
            <v>967210.13100000005</v>
          </cell>
          <cell r="G50">
            <v>15615.474</v>
          </cell>
          <cell r="H50">
            <v>139577.027</v>
          </cell>
          <cell r="I50">
            <v>1119951.173</v>
          </cell>
          <cell r="J50">
            <v>1567850.595</v>
          </cell>
          <cell r="K50">
            <v>33.639000000000003</v>
          </cell>
          <cell r="L50">
            <v>1906715.763</v>
          </cell>
          <cell r="N50">
            <v>0.14430889682233899</v>
          </cell>
        </row>
        <row r="51">
          <cell r="A51" t="str">
            <v>Ecuador</v>
          </cell>
          <cell r="B51">
            <v>133</v>
          </cell>
          <cell r="C51">
            <v>3491623.787</v>
          </cell>
          <cell r="D51">
            <v>836501.12300000002</v>
          </cell>
          <cell r="E51">
            <v>4328124.91</v>
          </cell>
          <cell r="F51">
            <v>285241.98700000002</v>
          </cell>
          <cell r="G51">
            <v>101690.719</v>
          </cell>
          <cell r="H51">
            <v>132656.33100000001</v>
          </cell>
          <cell r="I51">
            <v>1102971.915</v>
          </cell>
          <cell r="J51">
            <v>354203.31800000003</v>
          </cell>
          <cell r="K51">
            <v>12.179</v>
          </cell>
          <cell r="L51">
            <v>1382935.7379999999</v>
          </cell>
          <cell r="N51">
            <v>0.46506593364882148</v>
          </cell>
        </row>
        <row r="52">
          <cell r="A52" t="str">
            <v>El Salvador</v>
          </cell>
          <cell r="B52">
            <v>88</v>
          </cell>
          <cell r="C52">
            <v>3622471.2069999999</v>
          </cell>
          <cell r="D52">
            <v>701866.22400000005</v>
          </cell>
          <cell r="E52">
            <v>4324337.4309999999</v>
          </cell>
          <cell r="F52">
            <v>365569.90500000003</v>
          </cell>
          <cell r="G52">
            <v>30160.697</v>
          </cell>
          <cell r="H52">
            <v>85179.7</v>
          </cell>
          <cell r="I52">
            <v>1284950.3389999999</v>
          </cell>
          <cell r="J52">
            <v>79847.603000000003</v>
          </cell>
          <cell r="K52">
            <v>36.357999999999997</v>
          </cell>
          <cell r="L52">
            <v>1224472.936</v>
          </cell>
          <cell r="N52">
            <v>0.23300523055911834</v>
          </cell>
        </row>
        <row r="53">
          <cell r="A53" t="str">
            <v>Guatemala</v>
          </cell>
          <cell r="B53">
            <v>143</v>
          </cell>
          <cell r="C53">
            <v>4132894.2209999999</v>
          </cell>
          <cell r="D53">
            <v>819994.87300000002</v>
          </cell>
          <cell r="E53">
            <v>4952889.0939999996</v>
          </cell>
          <cell r="F53">
            <v>324473.07299999997</v>
          </cell>
          <cell r="G53">
            <v>91399.910999999993</v>
          </cell>
          <cell r="H53">
            <v>67488.788</v>
          </cell>
          <cell r="I53">
            <v>1351864.425</v>
          </cell>
          <cell r="J53">
            <v>1030275.24</v>
          </cell>
          <cell r="K53">
            <v>30.361000000000001</v>
          </cell>
          <cell r="L53">
            <v>1086918.588</v>
          </cell>
          <cell r="N53">
            <v>0.20799503446007062</v>
          </cell>
        </row>
        <row r="54">
          <cell r="A54" t="str">
            <v>Honduras</v>
          </cell>
          <cell r="B54">
            <v>87</v>
          </cell>
          <cell r="C54">
            <v>3613070.2659999998</v>
          </cell>
          <cell r="D54">
            <v>1498843.084</v>
          </cell>
          <cell r="E54">
            <v>5111913.3499999996</v>
          </cell>
          <cell r="F54">
            <v>395188.08899999998</v>
          </cell>
          <cell r="G54">
            <v>47840.618000000002</v>
          </cell>
          <cell r="H54">
            <v>43557.682000000001</v>
          </cell>
          <cell r="I54">
            <v>978018.03300000005</v>
          </cell>
          <cell r="J54">
            <v>611418.5</v>
          </cell>
          <cell r="K54">
            <v>65.765000000000001</v>
          </cell>
          <cell r="L54">
            <v>981959.41200000001</v>
          </cell>
          <cell r="N54">
            <v>0.11022012862336042</v>
          </cell>
        </row>
        <row r="55">
          <cell r="A55" t="str">
            <v>Jamaica</v>
          </cell>
          <cell r="B55">
            <v>58</v>
          </cell>
          <cell r="C55">
            <v>527113.72</v>
          </cell>
          <cell r="D55">
            <v>163230.024</v>
          </cell>
          <cell r="E55">
            <v>690343.74399999995</v>
          </cell>
          <cell r="F55">
            <v>47377.290999999997</v>
          </cell>
          <cell r="G55">
            <v>8237.6180000000004</v>
          </cell>
          <cell r="H55">
            <v>10730.62</v>
          </cell>
          <cell r="I55">
            <v>134912.095</v>
          </cell>
          <cell r="J55">
            <v>120372.424</v>
          </cell>
          <cell r="K55">
            <v>15.314</v>
          </cell>
          <cell r="L55">
            <v>148916.09400000001</v>
          </cell>
          <cell r="N55">
            <v>0.2264928993090804</v>
          </cell>
        </row>
        <row r="56">
          <cell r="A56" t="str">
            <v>Mexico</v>
          </cell>
          <cell r="B56">
            <v>962</v>
          </cell>
          <cell r="C56">
            <v>150541793.19999999</v>
          </cell>
          <cell r="D56">
            <v>103787198.68700001</v>
          </cell>
          <cell r="E56">
            <v>254328991.88800001</v>
          </cell>
          <cell r="F56">
            <v>16165848.51</v>
          </cell>
          <cell r="G56">
            <v>5632475.4699999997</v>
          </cell>
          <cell r="H56">
            <v>5430804.4890000001</v>
          </cell>
          <cell r="I56">
            <v>110482999.58</v>
          </cell>
          <cell r="J56">
            <v>24831251.688000001</v>
          </cell>
          <cell r="K56">
            <v>1340.375</v>
          </cell>
          <cell r="L56">
            <v>86756896.607999995</v>
          </cell>
          <cell r="N56">
            <v>0.33594305214728254</v>
          </cell>
        </row>
        <row r="57">
          <cell r="A57" t="str">
            <v>Nicaragua</v>
          </cell>
          <cell r="B57">
            <v>46</v>
          </cell>
          <cell r="C57">
            <v>1225624.51</v>
          </cell>
          <cell r="D57">
            <v>205232.31599999999</v>
          </cell>
          <cell r="E57">
            <v>1430856.8259999999</v>
          </cell>
          <cell r="F57">
            <v>84864.531000000003</v>
          </cell>
          <cell r="G57">
            <v>31016.028999999999</v>
          </cell>
          <cell r="H57">
            <v>14182.087</v>
          </cell>
          <cell r="I57">
            <v>205788.9</v>
          </cell>
          <cell r="J57">
            <v>345413.70500000002</v>
          </cell>
          <cell r="K57">
            <v>12.696</v>
          </cell>
          <cell r="L57">
            <v>479311.41800000001</v>
          </cell>
          <cell r="N57">
            <v>0.16711442145364591</v>
          </cell>
        </row>
        <row r="58">
          <cell r="A58" t="str">
            <v>Panama</v>
          </cell>
          <cell r="B58">
            <v>206</v>
          </cell>
          <cell r="C58">
            <v>6695349.7419999996</v>
          </cell>
          <cell r="D58">
            <v>3879494.946</v>
          </cell>
          <cell r="E58">
            <v>10574844.687999999</v>
          </cell>
          <cell r="F58">
            <v>729057.94700000004</v>
          </cell>
          <cell r="G58">
            <v>52536.307999999997</v>
          </cell>
          <cell r="H58">
            <v>79364.335999999996</v>
          </cell>
          <cell r="I58">
            <v>3473509.2910000002</v>
          </cell>
          <cell r="J58">
            <v>2718109.1239999998</v>
          </cell>
          <cell r="K58">
            <v>13.897</v>
          </cell>
          <cell r="L58">
            <v>3961368.926</v>
          </cell>
          <cell r="N58">
            <v>0.10885874891917198</v>
          </cell>
        </row>
        <row r="59">
          <cell r="A59" t="str">
            <v>Paraguay</v>
          </cell>
          <cell r="B59">
            <v>47</v>
          </cell>
          <cell r="C59">
            <v>650800.92000000004</v>
          </cell>
          <cell r="D59">
            <v>1161438.764</v>
          </cell>
          <cell r="E59">
            <v>1812239.6839999999</v>
          </cell>
          <cell r="F59">
            <v>87965.591</v>
          </cell>
          <cell r="G59">
            <v>10167.507</v>
          </cell>
          <cell r="H59">
            <v>12375.564</v>
          </cell>
          <cell r="I59">
            <v>333293.85800000001</v>
          </cell>
          <cell r="J59">
            <v>792052.42200000002</v>
          </cell>
          <cell r="K59">
            <v>2.0129999999999999</v>
          </cell>
          <cell r="L59">
            <v>732700.33600000001</v>
          </cell>
          <cell r="N59">
            <v>0.14068641907947849</v>
          </cell>
        </row>
        <row r="60">
          <cell r="A60" t="str">
            <v>Peru</v>
          </cell>
          <cell r="B60">
            <v>277</v>
          </cell>
          <cell r="C60">
            <v>11476518.304</v>
          </cell>
          <cell r="D60">
            <v>3217106.7390000001</v>
          </cell>
          <cell r="E60">
            <v>14693625.044</v>
          </cell>
          <cell r="F60">
            <v>1040160.205</v>
          </cell>
          <cell r="G60">
            <v>490578.10800000001</v>
          </cell>
          <cell r="H60">
            <v>504354.74400000001</v>
          </cell>
          <cell r="I60">
            <v>10204853.223999999</v>
          </cell>
          <cell r="J60">
            <v>6122984.9100000001</v>
          </cell>
          <cell r="K60">
            <v>51.508000000000003</v>
          </cell>
          <cell r="L60">
            <v>13850774.959000001</v>
          </cell>
          <cell r="N60">
            <v>0.48488179183897928</v>
          </cell>
        </row>
        <row r="61">
          <cell r="A61" t="str">
            <v>Puerto Rico</v>
          </cell>
          <cell r="B61">
            <v>354</v>
          </cell>
          <cell r="C61">
            <v>18988533.927000001</v>
          </cell>
          <cell r="D61">
            <v>89953906.902999997</v>
          </cell>
          <cell r="E61">
            <v>108942440.83</v>
          </cell>
          <cell r="F61">
            <v>33363980.559999999</v>
          </cell>
          <cell r="G61">
            <v>1217418.7879999999</v>
          </cell>
          <cell r="H61">
            <v>516516.93</v>
          </cell>
          <cell r="I61">
            <v>31857558.673</v>
          </cell>
          <cell r="J61">
            <v>30266308.175000001</v>
          </cell>
          <cell r="K61">
            <v>73.555999999999997</v>
          </cell>
          <cell r="L61">
            <v>24156537.212000001</v>
          </cell>
          <cell r="N61">
            <v>1.5481274156455149E-2</v>
          </cell>
        </row>
        <row r="62">
          <cell r="A62" t="str">
            <v>St. Kitts and Nevis</v>
          </cell>
          <cell r="B62">
            <v>19</v>
          </cell>
          <cell r="C62">
            <v>68310.554999999993</v>
          </cell>
          <cell r="D62">
            <v>123439.624</v>
          </cell>
          <cell r="E62">
            <v>191750.179</v>
          </cell>
          <cell r="F62">
            <v>234671.951</v>
          </cell>
          <cell r="G62">
            <v>10415.246999999999</v>
          </cell>
          <cell r="H62">
            <v>10188.924000000001</v>
          </cell>
          <cell r="I62">
            <v>359488.57299999997</v>
          </cell>
          <cell r="J62">
            <v>2890850.031</v>
          </cell>
          <cell r="K62">
            <v>0.63800000000000001</v>
          </cell>
          <cell r="L62">
            <v>117601.961</v>
          </cell>
          <cell r="N62">
            <v>4.3417732526542983E-2</v>
          </cell>
        </row>
        <row r="63">
          <cell r="A63" t="str">
            <v>St. Lucia Island</v>
          </cell>
          <cell r="B63">
            <v>31</v>
          </cell>
          <cell r="C63">
            <v>107251.64</v>
          </cell>
          <cell r="D63">
            <v>4570.0649999999996</v>
          </cell>
          <cell r="E63">
            <v>111821.705</v>
          </cell>
          <cell r="F63">
            <v>38519.578000000001</v>
          </cell>
          <cell r="G63">
            <v>1017.965</v>
          </cell>
          <cell r="H63">
            <v>870.73699999999997</v>
          </cell>
          <cell r="I63">
            <v>299401.51899999997</v>
          </cell>
          <cell r="J63">
            <v>267578.23999999999</v>
          </cell>
          <cell r="K63">
            <v>0.16400000000000001</v>
          </cell>
          <cell r="L63">
            <v>5412.5360000000001</v>
          </cell>
          <cell r="N63">
            <v>2.2605050346086345E-2</v>
          </cell>
        </row>
        <row r="64">
          <cell r="A64" t="str">
            <v>Trinidad and Tobago</v>
          </cell>
          <cell r="B64">
            <v>78</v>
          </cell>
          <cell r="C64">
            <v>1332179.0989999999</v>
          </cell>
          <cell r="D64">
            <v>686661.48899999994</v>
          </cell>
          <cell r="E64">
            <v>2018840.588</v>
          </cell>
          <cell r="F64">
            <v>123639.69100000001</v>
          </cell>
          <cell r="G64">
            <v>134245.72099999999</v>
          </cell>
          <cell r="H64">
            <v>122534.592</v>
          </cell>
          <cell r="I64">
            <v>1209582.7779999999</v>
          </cell>
          <cell r="J64">
            <v>2613792.3119999999</v>
          </cell>
          <cell r="K64">
            <v>5.0039999999999996</v>
          </cell>
          <cell r="L64">
            <v>664062.03899999999</v>
          </cell>
          <cell r="N64">
            <v>0.9910619398102507</v>
          </cell>
        </row>
        <row r="65">
          <cell r="A65" t="str">
            <v>Uruguay</v>
          </cell>
          <cell r="B65">
            <v>164</v>
          </cell>
          <cell r="C65">
            <v>5149037.0480000004</v>
          </cell>
          <cell r="D65">
            <v>2505895.2749999999</v>
          </cell>
          <cell r="E65">
            <v>7654932.3229999999</v>
          </cell>
          <cell r="F65">
            <v>426645.81</v>
          </cell>
          <cell r="G65">
            <v>49459.311000000002</v>
          </cell>
          <cell r="H65">
            <v>43255.756999999998</v>
          </cell>
          <cell r="I65">
            <v>1598478.513</v>
          </cell>
          <cell r="J65">
            <v>1500719.236</v>
          </cell>
          <cell r="K65">
            <v>6.2619999999999996</v>
          </cell>
          <cell r="L65">
            <v>369902.016</v>
          </cell>
          <cell r="N65">
            <v>0.10138563648380843</v>
          </cell>
        </row>
        <row r="66">
          <cell r="A66" t="str">
            <v>Venezuela</v>
          </cell>
          <cell r="B66">
            <v>156</v>
          </cell>
          <cell r="C66">
            <v>107543.217</v>
          </cell>
          <cell r="D66">
            <v>506955.31800000003</v>
          </cell>
          <cell r="E66">
            <v>614498.53399999999</v>
          </cell>
          <cell r="F66">
            <v>-32625.362000000001</v>
          </cell>
          <cell r="G66">
            <v>-50284.252999999997</v>
          </cell>
          <cell r="H66">
            <v>17044.886999999999</v>
          </cell>
          <cell r="I66">
            <v>2892439.55</v>
          </cell>
          <cell r="J66">
            <v>-1251993.828</v>
          </cell>
          <cell r="K66">
            <v>6.609</v>
          </cell>
          <cell r="L66">
            <v>741569.07900000003</v>
          </cell>
          <cell r="N66">
            <v>-0.5224428467644282</v>
          </cell>
        </row>
        <row r="67">
          <cell r="A67" t="str">
            <v>Virgin Islands</v>
          </cell>
          <cell r="B67">
            <v>71</v>
          </cell>
          <cell r="C67">
            <v>544423.47</v>
          </cell>
          <cell r="D67">
            <v>121176.736</v>
          </cell>
          <cell r="E67">
            <v>665600.20600000001</v>
          </cell>
          <cell r="F67">
            <v>-170260.67499999999</v>
          </cell>
          <cell r="G67">
            <v>4932.1400000000003</v>
          </cell>
          <cell r="H67">
            <v>17313.346000000001</v>
          </cell>
          <cell r="I67">
            <v>373449.49300000002</v>
          </cell>
          <cell r="J67">
            <v>82130.350999999995</v>
          </cell>
          <cell r="K67">
            <v>3.4660000000000002</v>
          </cell>
          <cell r="L67">
            <v>598350.26899999997</v>
          </cell>
          <cell r="N67">
            <v>-0.10168728627441423</v>
          </cell>
        </row>
        <row r="68">
          <cell r="A68" t="str">
            <v>Americas, other countries</v>
          </cell>
          <cell r="B68">
            <v>129</v>
          </cell>
          <cell r="C68">
            <v>3914266.19</v>
          </cell>
          <cell r="D68">
            <v>16090795.302999999</v>
          </cell>
          <cell r="E68">
            <v>20005061.493000001</v>
          </cell>
          <cell r="F68">
            <v>10775863.275</v>
          </cell>
          <cell r="G68">
            <v>84150.672999999995</v>
          </cell>
          <cell r="H68">
            <v>47907.781999999999</v>
          </cell>
          <cell r="I68">
            <v>65786076.897</v>
          </cell>
          <cell r="J68">
            <v>408956.82900000003</v>
          </cell>
          <cell r="K68">
            <v>6.3890000000000002</v>
          </cell>
          <cell r="L68">
            <v>1907413.5930000001</v>
          </cell>
          <cell r="N68">
            <v>4.4458416720214002E-3</v>
          </cell>
        </row>
        <row r="69">
          <cell r="A69" t="str">
            <v>Asia &amp; Oceania, total</v>
          </cell>
          <cell r="B69">
            <v>1388</v>
          </cell>
          <cell r="C69">
            <v>1400096600.9749999</v>
          </cell>
          <cell r="D69">
            <v>788028595.097</v>
          </cell>
          <cell r="E69">
            <v>2188125196.072</v>
          </cell>
          <cell r="F69">
            <v>193739313.023</v>
          </cell>
          <cell r="G69">
            <v>41488635.077</v>
          </cell>
          <cell r="H69">
            <v>35030756.611000001</v>
          </cell>
          <cell r="I69">
            <v>1257275879.5050001</v>
          </cell>
          <cell r="J69">
            <v>612927189.07000005</v>
          </cell>
          <cell r="K69">
            <v>5467.9660000000003</v>
          </cell>
          <cell r="L69">
            <v>530149716.38200003</v>
          </cell>
          <cell r="N69">
            <v>0.18081387852779926</v>
          </cell>
        </row>
        <row r="70">
          <cell r="A70" t="str">
            <v>Armenia</v>
          </cell>
          <cell r="B70">
            <v>21</v>
          </cell>
          <cell r="C70">
            <v>43972.233</v>
          </cell>
          <cell r="D70">
            <v>54882.031000000003</v>
          </cell>
          <cell r="E70">
            <v>98854.263999999996</v>
          </cell>
          <cell r="F70">
            <v>2740.6590000000001</v>
          </cell>
          <cell r="G70">
            <v>1526.4839999999999</v>
          </cell>
          <cell r="H70">
            <v>1885.298</v>
          </cell>
          <cell r="I70">
            <v>14496.790999999999</v>
          </cell>
          <cell r="J70">
            <v>7091.7730000000001</v>
          </cell>
          <cell r="K70">
            <v>1.3380000000000001</v>
          </cell>
          <cell r="L70">
            <v>22071.216</v>
          </cell>
          <cell r="N70">
            <v>0.68789951613827183</v>
          </cell>
        </row>
        <row r="71">
          <cell r="A71" t="str">
            <v>Australia</v>
          </cell>
          <cell r="B71">
            <v>866</v>
          </cell>
          <cell r="C71">
            <v>133872136.058</v>
          </cell>
          <cell r="D71">
            <v>24353024.982999999</v>
          </cell>
          <cell r="E71">
            <v>158225161.04100001</v>
          </cell>
          <cell r="F71">
            <v>10330567.517999999</v>
          </cell>
          <cell r="G71">
            <v>3924693.2540000002</v>
          </cell>
          <cell r="H71">
            <v>3423679.0759999999</v>
          </cell>
          <cell r="I71">
            <v>252537518.97099999</v>
          </cell>
          <cell r="J71">
            <v>18968818.905000001</v>
          </cell>
          <cell r="K71">
            <v>301.18700000000001</v>
          </cell>
          <cell r="L71">
            <v>93031845.100999996</v>
          </cell>
          <cell r="N71">
            <v>0.33141248726505834</v>
          </cell>
        </row>
        <row r="72">
          <cell r="A72" t="str">
            <v>Azerbaijan</v>
          </cell>
          <cell r="B72">
            <v>38</v>
          </cell>
          <cell r="C72">
            <v>914743.99199999997</v>
          </cell>
          <cell r="D72">
            <v>152913.44699999999</v>
          </cell>
          <cell r="E72">
            <v>1067657.439</v>
          </cell>
          <cell r="F72">
            <v>529977.55700000003</v>
          </cell>
          <cell r="G72">
            <v>65667.301999999996</v>
          </cell>
          <cell r="H72">
            <v>69926.668000000005</v>
          </cell>
          <cell r="I72">
            <v>19654.428</v>
          </cell>
          <cell r="J72">
            <v>169742.818</v>
          </cell>
          <cell r="K72">
            <v>1.67</v>
          </cell>
          <cell r="L72">
            <v>1514627.926</v>
          </cell>
          <cell r="N72">
            <v>0.13194269658479144</v>
          </cell>
        </row>
        <row r="73">
          <cell r="A73" t="str">
            <v>Bahrain</v>
          </cell>
          <cell r="B73">
            <v>69</v>
          </cell>
          <cell r="C73">
            <v>1469909.7</v>
          </cell>
          <cell r="D73">
            <v>598080.10400000005</v>
          </cell>
          <cell r="E73">
            <v>2067989.8030000001</v>
          </cell>
          <cell r="F73">
            <v>218338.649</v>
          </cell>
          <cell r="G73">
            <v>10070.94</v>
          </cell>
          <cell r="H73">
            <v>9447.7279999999992</v>
          </cell>
          <cell r="I73">
            <v>1224758.915</v>
          </cell>
          <cell r="J73">
            <v>-343764.79300000001</v>
          </cell>
          <cell r="K73">
            <v>4.9589999999999996</v>
          </cell>
          <cell r="L73">
            <v>676264.027</v>
          </cell>
          <cell r="N73">
            <v>4.3270983141422657E-2</v>
          </cell>
        </row>
        <row r="74">
          <cell r="A74" t="str">
            <v>Bangladesh</v>
          </cell>
          <cell r="B74">
            <v>66</v>
          </cell>
          <cell r="C74">
            <v>1411708.226</v>
          </cell>
          <cell r="D74">
            <v>25933.081999999999</v>
          </cell>
          <cell r="E74">
            <v>1437641.308</v>
          </cell>
          <cell r="F74">
            <v>507774.09600000002</v>
          </cell>
          <cell r="G74">
            <v>183585.54500000001</v>
          </cell>
          <cell r="H74">
            <v>181633.579</v>
          </cell>
          <cell r="I74">
            <v>1069156.112</v>
          </cell>
          <cell r="J74">
            <v>-694296.46499999997</v>
          </cell>
          <cell r="K74">
            <v>4.47</v>
          </cell>
          <cell r="L74">
            <v>978585.54099999997</v>
          </cell>
          <cell r="N74">
            <v>0.3577054844483441</v>
          </cell>
        </row>
        <row r="75">
          <cell r="A75" t="str">
            <v>Brunei</v>
          </cell>
          <cell r="B75">
            <v>28</v>
          </cell>
          <cell r="C75">
            <v>198998.402</v>
          </cell>
          <cell r="D75">
            <v>-42363.548999999999</v>
          </cell>
          <cell r="E75">
            <v>156634.853</v>
          </cell>
          <cell r="F75">
            <v>-49091.040000000001</v>
          </cell>
          <cell r="G75">
            <v>3272.1860000000001</v>
          </cell>
          <cell r="H75">
            <v>1677.7929999999999</v>
          </cell>
          <cell r="I75">
            <v>37416.946000000004</v>
          </cell>
          <cell r="J75">
            <v>-84342.812999999995</v>
          </cell>
          <cell r="K75">
            <v>0.65700000000000003</v>
          </cell>
          <cell r="L75">
            <v>59540.24</v>
          </cell>
          <cell r="N75">
            <v>-3.4177173675685013E-2</v>
          </cell>
        </row>
        <row r="76">
          <cell r="A76" t="str">
            <v>Burma</v>
          </cell>
          <cell r="B76">
            <v>38</v>
          </cell>
          <cell r="C76">
            <v>375877.29300000001</v>
          </cell>
          <cell r="D76">
            <v>21335.118999999999</v>
          </cell>
          <cell r="E76">
            <v>397212.41200000001</v>
          </cell>
          <cell r="F76">
            <v>31801.434000000001</v>
          </cell>
          <cell r="G76">
            <v>19510.591</v>
          </cell>
          <cell r="H76">
            <v>19891.027999999998</v>
          </cell>
          <cell r="I76">
            <v>206567.253</v>
          </cell>
          <cell r="J76">
            <v>-61868.798999999999</v>
          </cell>
          <cell r="K76">
            <v>2.1190000000000002</v>
          </cell>
          <cell r="L76">
            <v>380845.67099999997</v>
          </cell>
          <cell r="N76">
            <v>0.62547581973819166</v>
          </cell>
        </row>
        <row r="77">
          <cell r="A77" t="str">
            <v>Cambodia</v>
          </cell>
          <cell r="B77">
            <v>34</v>
          </cell>
          <cell r="C77">
            <v>529379.52899999998</v>
          </cell>
          <cell r="D77">
            <v>34856.637000000002</v>
          </cell>
          <cell r="E77">
            <v>564236.16599999997</v>
          </cell>
          <cell r="F77">
            <v>59366.313000000002</v>
          </cell>
          <cell r="G77">
            <v>9433.9500000000007</v>
          </cell>
          <cell r="H77">
            <v>10898.462</v>
          </cell>
          <cell r="I77">
            <v>91751.379000000001</v>
          </cell>
          <cell r="J77">
            <v>230308.622</v>
          </cell>
          <cell r="K77">
            <v>3.835</v>
          </cell>
          <cell r="L77">
            <v>152173.28</v>
          </cell>
          <cell r="N77">
            <v>0.18357990330307355</v>
          </cell>
        </row>
        <row r="78">
          <cell r="A78" t="str">
            <v>China</v>
          </cell>
          <cell r="B78">
            <v>1043</v>
          </cell>
          <cell r="C78">
            <v>256886524.29800001</v>
          </cell>
          <cell r="D78">
            <v>152536300.583</v>
          </cell>
          <cell r="E78">
            <v>409422824.88099998</v>
          </cell>
          <cell r="F78">
            <v>28160570.201000001</v>
          </cell>
          <cell r="G78">
            <v>7428491.9019999998</v>
          </cell>
          <cell r="H78">
            <v>7461663.9479999999</v>
          </cell>
          <cell r="I78">
            <v>87504525.854000002</v>
          </cell>
          <cell r="J78">
            <v>55155038.082999997</v>
          </cell>
          <cell r="K78">
            <v>1320.0129999999999</v>
          </cell>
          <cell r="L78">
            <v>99727741.703999996</v>
          </cell>
          <cell r="N78">
            <v>0.26496849654468402</v>
          </cell>
        </row>
        <row r="79">
          <cell r="A79" t="str">
            <v>Fiji</v>
          </cell>
          <cell r="B79">
            <v>20</v>
          </cell>
          <cell r="C79">
            <v>40415.985999999997</v>
          </cell>
          <cell r="D79">
            <v>206392.20699999999</v>
          </cell>
          <cell r="E79">
            <v>246808.193</v>
          </cell>
          <cell r="F79">
            <v>28610.438999999998</v>
          </cell>
          <cell r="G79">
            <v>1673.0440000000001</v>
          </cell>
          <cell r="H79">
            <v>2019.1869999999999</v>
          </cell>
          <cell r="I79">
            <v>19418.203000000001</v>
          </cell>
          <cell r="J79">
            <v>123449.766</v>
          </cell>
          <cell r="K79">
            <v>0.92800000000000005</v>
          </cell>
          <cell r="L79">
            <v>181213.448</v>
          </cell>
          <cell r="N79">
            <v>7.0575184113742542E-2</v>
          </cell>
        </row>
        <row r="80">
          <cell r="A80" t="str">
            <v>Georgia</v>
          </cell>
          <cell r="B80">
            <v>25</v>
          </cell>
          <cell r="C80">
            <v>144159.217</v>
          </cell>
          <cell r="D80">
            <v>-1812.681</v>
          </cell>
          <cell r="E80">
            <v>142346.53599999999</v>
          </cell>
          <cell r="F80">
            <v>2520.4749999999999</v>
          </cell>
          <cell r="G80">
            <v>324.08800000000002</v>
          </cell>
          <cell r="H80">
            <v>1579.269</v>
          </cell>
          <cell r="I80">
            <v>21579.616000000002</v>
          </cell>
          <cell r="J80">
            <v>-28739.942999999999</v>
          </cell>
          <cell r="K80">
            <v>0.53800000000000003</v>
          </cell>
          <cell r="L80">
            <v>44040.374000000003</v>
          </cell>
          <cell r="N80">
            <v>0.62657594302661213</v>
          </cell>
        </row>
        <row r="81">
          <cell r="A81" t="str">
            <v>Guam</v>
          </cell>
          <cell r="B81">
            <v>49</v>
          </cell>
          <cell r="C81">
            <v>589172.43000000005</v>
          </cell>
          <cell r="D81">
            <v>10835.254000000001</v>
          </cell>
          <cell r="E81">
            <v>600007.68400000001</v>
          </cell>
          <cell r="F81">
            <v>125505.27099999999</v>
          </cell>
          <cell r="G81">
            <v>12460.897000000001</v>
          </cell>
          <cell r="H81">
            <v>15835.504999999999</v>
          </cell>
          <cell r="I81">
            <v>53666.055999999997</v>
          </cell>
          <cell r="J81">
            <v>301959.88699999999</v>
          </cell>
          <cell r="K81">
            <v>2.6459999999999999</v>
          </cell>
          <cell r="L81">
            <v>82031.433000000005</v>
          </cell>
          <cell r="N81">
            <v>0.12617402340018055</v>
          </cell>
        </row>
        <row r="82">
          <cell r="A82" t="str">
            <v>Hong Kong</v>
          </cell>
          <cell r="B82">
            <v>926</v>
          </cell>
          <cell r="C82">
            <v>126084678.506</v>
          </cell>
          <cell r="D82">
            <v>62174306.833999999</v>
          </cell>
          <cell r="E82">
            <v>188258985.34</v>
          </cell>
          <cell r="F82">
            <v>14045902.812000001</v>
          </cell>
          <cell r="G82">
            <v>1031517.02</v>
          </cell>
          <cell r="H82">
            <v>1683479.7069999999</v>
          </cell>
          <cell r="I82">
            <v>188458324.83899999</v>
          </cell>
          <cell r="J82">
            <v>70146350.579999998</v>
          </cell>
          <cell r="K82">
            <v>94.338999999999999</v>
          </cell>
          <cell r="L82">
            <v>15960257.555</v>
          </cell>
          <cell r="N82">
            <v>0.11985557137428952</v>
          </cell>
        </row>
        <row r="83">
          <cell r="A83" t="str">
            <v>India</v>
          </cell>
          <cell r="B83">
            <v>841</v>
          </cell>
          <cell r="C83">
            <v>73480364.672000006</v>
          </cell>
          <cell r="D83">
            <v>55670456.397</v>
          </cell>
          <cell r="E83">
            <v>129150821.06900001</v>
          </cell>
          <cell r="F83">
            <v>9378613.5950000007</v>
          </cell>
          <cell r="G83">
            <v>5388489.1320000002</v>
          </cell>
          <cell r="H83">
            <v>4506057.0310000004</v>
          </cell>
          <cell r="I83">
            <v>48032081.766999997</v>
          </cell>
          <cell r="J83">
            <v>33903565.123000003</v>
          </cell>
          <cell r="K83">
            <v>1643.9970000000001</v>
          </cell>
          <cell r="L83">
            <v>31311833.728</v>
          </cell>
          <cell r="N83">
            <v>0.48046088959271172</v>
          </cell>
        </row>
        <row r="84">
          <cell r="A84" t="str">
            <v>Indonesia</v>
          </cell>
          <cell r="B84">
            <v>292</v>
          </cell>
          <cell r="C84">
            <v>17732619.688999999</v>
          </cell>
          <cell r="D84">
            <v>6490437.1950000003</v>
          </cell>
          <cell r="E84">
            <v>24223056.884</v>
          </cell>
          <cell r="F84">
            <v>2853403.0269999998</v>
          </cell>
          <cell r="G84">
            <v>1409504.8689999999</v>
          </cell>
          <cell r="H84">
            <v>1366368.0109999999</v>
          </cell>
          <cell r="I84">
            <v>21384709.195999999</v>
          </cell>
          <cell r="J84">
            <v>10799229.464</v>
          </cell>
          <cell r="K84">
            <v>102.985</v>
          </cell>
          <cell r="L84">
            <v>24750603.579</v>
          </cell>
          <cell r="N84">
            <v>0.47885559735897765</v>
          </cell>
        </row>
        <row r="85">
          <cell r="A85" t="str">
            <v>Iraq</v>
          </cell>
          <cell r="B85">
            <v>27</v>
          </cell>
          <cell r="C85">
            <v>1218522.9569999999</v>
          </cell>
          <cell r="D85">
            <v>959378.78899999999</v>
          </cell>
          <cell r="E85">
            <v>2177901.7459999998</v>
          </cell>
          <cell r="F85">
            <v>492118.96600000001</v>
          </cell>
          <cell r="G85">
            <v>12295.361999999999</v>
          </cell>
          <cell r="H85">
            <v>-27185.955999999998</v>
          </cell>
          <cell r="I85">
            <v>1352056.9650000001</v>
          </cell>
          <cell r="J85">
            <v>-763686.929</v>
          </cell>
          <cell r="K85">
            <v>1.72</v>
          </cell>
          <cell r="L85">
            <v>949692.31599999999</v>
          </cell>
          <cell r="N85">
            <v>-5.524265041229888E-2</v>
          </cell>
        </row>
        <row r="86">
          <cell r="A86" t="str">
            <v>Israel</v>
          </cell>
          <cell r="B86">
            <v>324</v>
          </cell>
          <cell r="C86">
            <v>9741645.2440000009</v>
          </cell>
          <cell r="D86">
            <v>21843616.298</v>
          </cell>
          <cell r="E86">
            <v>31585261.543000001</v>
          </cell>
          <cell r="F86">
            <v>3541433.3</v>
          </cell>
          <cell r="G86">
            <v>935815.86399999994</v>
          </cell>
          <cell r="H86">
            <v>1072694.3910000001</v>
          </cell>
          <cell r="I86">
            <v>61400647.931999996</v>
          </cell>
          <cell r="J86">
            <v>14202890.165999999</v>
          </cell>
          <cell r="K86">
            <v>75.087000000000003</v>
          </cell>
          <cell r="L86">
            <v>16349766.454</v>
          </cell>
          <cell r="N86">
            <v>0.30289837479079451</v>
          </cell>
        </row>
        <row r="87">
          <cell r="A87" t="str">
            <v>Japan</v>
          </cell>
          <cell r="B87">
            <v>730</v>
          </cell>
          <cell r="C87">
            <v>241347900.39899999</v>
          </cell>
          <cell r="D87">
            <v>28936583.280000001</v>
          </cell>
          <cell r="E87">
            <v>270284483.67900002</v>
          </cell>
          <cell r="F87">
            <v>27950660.903000001</v>
          </cell>
          <cell r="G87">
            <v>6924115.29</v>
          </cell>
          <cell r="H87">
            <v>6051875.5120000001</v>
          </cell>
          <cell r="I87">
            <v>68086748.921000004</v>
          </cell>
          <cell r="J87">
            <v>89810598.125</v>
          </cell>
          <cell r="K87">
            <v>359.34500000000003</v>
          </cell>
          <cell r="L87">
            <v>51627637.428999998</v>
          </cell>
          <cell r="N87">
            <v>0.2165199432314833</v>
          </cell>
        </row>
        <row r="88">
          <cell r="A88" t="str">
            <v>Jordan</v>
          </cell>
          <cell r="B88">
            <v>49</v>
          </cell>
          <cell r="C88">
            <v>482341.05200000003</v>
          </cell>
          <cell r="D88">
            <v>568005.23100000003</v>
          </cell>
          <cell r="E88">
            <v>1050346.2830000001</v>
          </cell>
          <cell r="F88">
            <v>306224.3</v>
          </cell>
          <cell r="G88">
            <v>8731.7189999999991</v>
          </cell>
          <cell r="H88">
            <v>14183.289000000001</v>
          </cell>
          <cell r="I88">
            <v>329112.61300000001</v>
          </cell>
          <cell r="J88">
            <v>491880.15600000002</v>
          </cell>
          <cell r="K88">
            <v>2.1419999999999999</v>
          </cell>
          <cell r="L88">
            <v>952979.96200000006</v>
          </cell>
          <cell r="N88">
            <v>4.6316667227257934E-2</v>
          </cell>
        </row>
        <row r="89">
          <cell r="A89" t="str">
            <v>Kazakhstan</v>
          </cell>
          <cell r="B89">
            <v>103</v>
          </cell>
          <cell r="C89">
            <v>2502038.6320000002</v>
          </cell>
          <cell r="D89">
            <v>-60168.826999999997</v>
          </cell>
          <cell r="E89">
            <v>2441869.8050000002</v>
          </cell>
          <cell r="F89">
            <v>494767.43400000001</v>
          </cell>
          <cell r="G89">
            <v>209864.21900000001</v>
          </cell>
          <cell r="H89">
            <v>245083.383</v>
          </cell>
          <cell r="I89">
            <v>479337.12199999997</v>
          </cell>
          <cell r="J89">
            <v>222011.359</v>
          </cell>
          <cell r="K89">
            <v>5.633</v>
          </cell>
          <cell r="L89">
            <v>2069695.4410000001</v>
          </cell>
          <cell r="N89">
            <v>0.49535067621285678</v>
          </cell>
        </row>
        <row r="90">
          <cell r="A90" t="str">
            <v>Korea, Republic of (South)</v>
          </cell>
          <cell r="B90">
            <v>602</v>
          </cell>
          <cell r="C90">
            <v>65581774.798</v>
          </cell>
          <cell r="D90">
            <v>16978003.838</v>
          </cell>
          <cell r="E90">
            <v>82559778.636000007</v>
          </cell>
          <cell r="F90">
            <v>4904892.9359999998</v>
          </cell>
          <cell r="G90">
            <v>1769234.5730000001</v>
          </cell>
          <cell r="H90">
            <v>1555769.53</v>
          </cell>
          <cell r="I90">
            <v>21362256.52</v>
          </cell>
          <cell r="J90">
            <v>24146349.162</v>
          </cell>
          <cell r="K90">
            <v>147.69</v>
          </cell>
          <cell r="L90">
            <v>22850379.868999999</v>
          </cell>
          <cell r="N90">
            <v>0.31718725572606465</v>
          </cell>
        </row>
        <row r="91">
          <cell r="A91" t="str">
            <v>Kuwait</v>
          </cell>
          <cell r="B91">
            <v>52</v>
          </cell>
          <cell r="C91">
            <v>1381105.3359999999</v>
          </cell>
          <cell r="D91">
            <v>356062.41499999998</v>
          </cell>
          <cell r="E91">
            <v>1737167.7509999999</v>
          </cell>
          <cell r="F91">
            <v>28958.308000000001</v>
          </cell>
          <cell r="G91">
            <v>5329.9840000000004</v>
          </cell>
          <cell r="H91">
            <v>37787.525999999998</v>
          </cell>
          <cell r="I91">
            <v>216915.20000000001</v>
          </cell>
          <cell r="J91">
            <v>897113.29500000004</v>
          </cell>
          <cell r="K91">
            <v>4.242</v>
          </cell>
          <cell r="L91">
            <v>373118.24099999998</v>
          </cell>
          <cell r="N91">
            <v>1.3048941257203286</v>
          </cell>
        </row>
        <row r="92">
          <cell r="A92" t="str">
            <v>Lebanon</v>
          </cell>
          <cell r="B92">
            <v>64</v>
          </cell>
          <cell r="C92">
            <v>146601.76300000001</v>
          </cell>
          <cell r="D92">
            <v>72838.839000000007</v>
          </cell>
          <cell r="E92">
            <v>219440.60200000001</v>
          </cell>
          <cell r="F92">
            <v>21480.92</v>
          </cell>
          <cell r="G92">
            <v>7448.1540000000005</v>
          </cell>
          <cell r="H92">
            <v>7398.6540000000005</v>
          </cell>
          <cell r="I92">
            <v>153246.976</v>
          </cell>
          <cell r="J92">
            <v>31882.858</v>
          </cell>
          <cell r="K92">
            <v>0.89400000000000002</v>
          </cell>
          <cell r="L92">
            <v>3869.8739999999998</v>
          </cell>
          <cell r="N92">
            <v>0.34442910266413174</v>
          </cell>
        </row>
        <row r="93">
          <cell r="A93" t="str">
            <v>Macau</v>
          </cell>
          <cell r="B93">
            <v>71</v>
          </cell>
          <cell r="C93">
            <v>18508650.372000001</v>
          </cell>
          <cell r="D93">
            <v>4196697.182</v>
          </cell>
          <cell r="E93">
            <v>22705347.554000001</v>
          </cell>
          <cell r="F93">
            <v>2936305.2119999998</v>
          </cell>
          <cell r="G93">
            <v>13441.664000000001</v>
          </cell>
          <cell r="H93">
            <v>5281.0839999999998</v>
          </cell>
          <cell r="I93">
            <v>6515952.6639999999</v>
          </cell>
          <cell r="J93">
            <v>10875140.946</v>
          </cell>
          <cell r="K93">
            <v>54.83</v>
          </cell>
          <cell r="L93">
            <v>16029902.785</v>
          </cell>
          <cell r="N93">
            <v>1.798547364360296E-3</v>
          </cell>
        </row>
        <row r="94">
          <cell r="A94" t="str">
            <v>Malaysia</v>
          </cell>
          <cell r="B94">
            <v>491</v>
          </cell>
          <cell r="C94">
            <v>21902776.291999999</v>
          </cell>
          <cell r="D94">
            <v>33334990.923999999</v>
          </cell>
          <cell r="E94">
            <v>55237767.217</v>
          </cell>
          <cell r="F94">
            <v>4810237.9730000002</v>
          </cell>
          <cell r="G94">
            <v>798619.62199999997</v>
          </cell>
          <cell r="H94">
            <v>704087.027</v>
          </cell>
          <cell r="I94">
            <v>17071978.372000001</v>
          </cell>
          <cell r="J94">
            <v>9765056.1679999996</v>
          </cell>
          <cell r="K94">
            <v>172.56200000000001</v>
          </cell>
          <cell r="L94">
            <v>16768971.791999999</v>
          </cell>
          <cell r="N94">
            <v>0.14637259756212898</v>
          </cell>
        </row>
        <row r="95">
          <cell r="A95" t="str">
            <v>New Zealand</v>
          </cell>
          <cell r="B95">
            <v>457</v>
          </cell>
          <cell r="C95">
            <v>11010378.277000001</v>
          </cell>
          <cell r="D95">
            <v>1493329.243</v>
          </cell>
          <cell r="E95">
            <v>12503707.518999999</v>
          </cell>
          <cell r="F95">
            <v>776562.49600000004</v>
          </cell>
          <cell r="G95">
            <v>318411.06199999998</v>
          </cell>
          <cell r="H95">
            <v>281903.39500000002</v>
          </cell>
          <cell r="I95">
            <v>5693278.7889999999</v>
          </cell>
          <cell r="J95">
            <v>2503838.3840000001</v>
          </cell>
          <cell r="K95">
            <v>33.58</v>
          </cell>
          <cell r="L95">
            <v>3960645.3459999999</v>
          </cell>
          <cell r="N95">
            <v>0.36301443406301198</v>
          </cell>
        </row>
        <row r="96">
          <cell r="A96" t="str">
            <v>Oman</v>
          </cell>
          <cell r="B96">
            <v>62</v>
          </cell>
          <cell r="C96">
            <v>1528103.0079999999</v>
          </cell>
          <cell r="D96">
            <v>1474272.5190000001</v>
          </cell>
          <cell r="E96">
            <v>3002375.5269999998</v>
          </cell>
          <cell r="F96">
            <v>623730.46699999995</v>
          </cell>
          <cell r="G96">
            <v>246107.51300000001</v>
          </cell>
          <cell r="H96">
            <v>256991.62</v>
          </cell>
          <cell r="I96">
            <v>433452.95500000002</v>
          </cell>
          <cell r="J96">
            <v>3808227.017</v>
          </cell>
          <cell r="K96">
            <v>6.7119999999999997</v>
          </cell>
          <cell r="L96">
            <v>2749255.733</v>
          </cell>
          <cell r="N96">
            <v>0.41202351592037917</v>
          </cell>
        </row>
        <row r="97">
          <cell r="A97" t="str">
            <v>Pakistan</v>
          </cell>
          <cell r="B97">
            <v>86</v>
          </cell>
          <cell r="C97">
            <v>2132826.2799999998</v>
          </cell>
          <cell r="D97">
            <v>159395.58300000001</v>
          </cell>
          <cell r="E97">
            <v>2292221.8629999999</v>
          </cell>
          <cell r="F97">
            <v>264415.81099999999</v>
          </cell>
          <cell r="G97">
            <v>124590.234</v>
          </cell>
          <cell r="H97">
            <v>113617.136</v>
          </cell>
          <cell r="I97">
            <v>496237.81300000002</v>
          </cell>
          <cell r="J97">
            <v>896188.01800000004</v>
          </cell>
          <cell r="K97">
            <v>13.888</v>
          </cell>
          <cell r="L97">
            <v>798138.00800000003</v>
          </cell>
          <cell r="N97">
            <v>0.42969115791642282</v>
          </cell>
        </row>
        <row r="98">
          <cell r="A98" t="str">
            <v>Papua-New Guinea</v>
          </cell>
          <cell r="B98">
            <v>339</v>
          </cell>
          <cell r="C98">
            <v>12966846.765000001</v>
          </cell>
          <cell r="D98">
            <v>13524332.355</v>
          </cell>
          <cell r="E98">
            <v>26491179.120000001</v>
          </cell>
          <cell r="F98">
            <v>2833683.0260000001</v>
          </cell>
          <cell r="G98">
            <v>666121.67000000004</v>
          </cell>
          <cell r="H98">
            <v>696120.32700000005</v>
          </cell>
          <cell r="I98">
            <v>4332258.267</v>
          </cell>
          <cell r="J98">
            <v>7718271.4570000004</v>
          </cell>
          <cell r="K98">
            <v>496.32600000000002</v>
          </cell>
          <cell r="L98">
            <v>8293968.7149999999</v>
          </cell>
          <cell r="N98">
            <v>0.24565920768584934</v>
          </cell>
        </row>
        <row r="99">
          <cell r="A99" t="str">
            <v>Philippines</v>
          </cell>
          <cell r="B99">
            <v>352</v>
          </cell>
          <cell r="C99">
            <v>13693397.097999999</v>
          </cell>
          <cell r="D99">
            <v>13994498.355</v>
          </cell>
          <cell r="E99">
            <v>27687895.453000002</v>
          </cell>
          <cell r="F99">
            <v>3276008.088</v>
          </cell>
          <cell r="G99">
            <v>769446.76199999999</v>
          </cell>
          <cell r="H99">
            <v>846678.98499999999</v>
          </cell>
          <cell r="I99">
            <v>5266079.0470000003</v>
          </cell>
          <cell r="J99">
            <v>7654150.4380000001</v>
          </cell>
          <cell r="K99">
            <v>487.80599999999998</v>
          </cell>
          <cell r="L99">
            <v>8143382.5980000002</v>
          </cell>
          <cell r="N99">
            <v>0.25844838054624486</v>
          </cell>
        </row>
        <row r="100">
          <cell r="A100" t="str">
            <v>Qatar</v>
          </cell>
          <cell r="B100">
            <v>93</v>
          </cell>
          <cell r="C100">
            <v>2852768.122</v>
          </cell>
          <cell r="D100">
            <v>25358.377</v>
          </cell>
          <cell r="E100">
            <v>2878126.4989999998</v>
          </cell>
          <cell r="F100">
            <v>1060422.791</v>
          </cell>
          <cell r="G100">
            <v>406651.37599999999</v>
          </cell>
          <cell r="H100">
            <v>409513.06</v>
          </cell>
          <cell r="I100">
            <v>460517.50699999998</v>
          </cell>
          <cell r="J100">
            <v>12880770.336999999</v>
          </cell>
          <cell r="K100">
            <v>3.3370000000000002</v>
          </cell>
          <cell r="L100">
            <v>805923.89599999995</v>
          </cell>
          <cell r="N100">
            <v>0.38617904431667388</v>
          </cell>
        </row>
        <row r="101">
          <cell r="A101" t="str">
            <v>Saudi Arabia</v>
          </cell>
          <cell r="B101">
            <v>219</v>
          </cell>
          <cell r="C101">
            <v>13597935.181</v>
          </cell>
          <cell r="D101">
            <v>1287994.48</v>
          </cell>
          <cell r="E101">
            <v>14885929.661</v>
          </cell>
          <cell r="F101">
            <v>-297512.40899999999</v>
          </cell>
          <cell r="G101">
            <v>276752.261</v>
          </cell>
          <cell r="H101">
            <v>217573.913</v>
          </cell>
          <cell r="I101">
            <v>1473850.831</v>
          </cell>
          <cell r="J101">
            <v>2385244.963</v>
          </cell>
          <cell r="K101">
            <v>28.084</v>
          </cell>
          <cell r="L101">
            <v>5873405.1330000004</v>
          </cell>
          <cell r="N101">
            <v>-0.73131038040164575</v>
          </cell>
        </row>
        <row r="102">
          <cell r="A102" t="str">
            <v>Singapore</v>
          </cell>
          <cell r="B102">
            <v>834</v>
          </cell>
          <cell r="C102">
            <v>242955221.53799999</v>
          </cell>
          <cell r="D102">
            <v>300867650.31300002</v>
          </cell>
          <cell r="E102">
            <v>543822871.85099995</v>
          </cell>
          <cell r="F102">
            <v>62757099.744000003</v>
          </cell>
          <cell r="G102">
            <v>3801317.321</v>
          </cell>
          <cell r="H102">
            <v>2034329.057</v>
          </cell>
          <cell r="I102">
            <v>401421640.014</v>
          </cell>
          <cell r="J102">
            <v>218918260.09</v>
          </cell>
          <cell r="K102">
            <v>179.74799999999999</v>
          </cell>
          <cell r="L102">
            <v>59149682.822999999</v>
          </cell>
          <cell r="N102">
            <v>3.2415918920703397E-2</v>
          </cell>
        </row>
        <row r="103">
          <cell r="A103" t="str">
            <v>Sri Lanka</v>
          </cell>
          <cell r="B103">
            <v>67</v>
          </cell>
          <cell r="C103">
            <v>322381.30499999999</v>
          </cell>
          <cell r="D103">
            <v>139797.51999999999</v>
          </cell>
          <cell r="E103">
            <v>462178.82500000001</v>
          </cell>
          <cell r="F103">
            <v>86443.540999999997</v>
          </cell>
          <cell r="G103">
            <v>16502.688999999998</v>
          </cell>
          <cell r="H103">
            <v>21198.324000000001</v>
          </cell>
          <cell r="I103">
            <v>192959.399</v>
          </cell>
          <cell r="J103">
            <v>69701.91</v>
          </cell>
          <cell r="K103">
            <v>7.056</v>
          </cell>
          <cell r="L103">
            <v>148757.11900000001</v>
          </cell>
          <cell r="N103">
            <v>0.24522739067341076</v>
          </cell>
        </row>
        <row r="104">
          <cell r="A104" t="str">
            <v>Taiwan</v>
          </cell>
          <cell r="B104">
            <v>450</v>
          </cell>
          <cell r="C104">
            <v>34294510.126000002</v>
          </cell>
          <cell r="D104">
            <v>21202275.228</v>
          </cell>
          <cell r="E104">
            <v>55496785.353</v>
          </cell>
          <cell r="F104">
            <v>4311719.0310000004</v>
          </cell>
          <cell r="G104">
            <v>874405.26699999999</v>
          </cell>
          <cell r="H104">
            <v>850302.98800000001</v>
          </cell>
          <cell r="I104">
            <v>21991958.614999998</v>
          </cell>
          <cell r="J104">
            <v>9008255.7819999997</v>
          </cell>
          <cell r="K104">
            <v>101.123</v>
          </cell>
          <cell r="L104">
            <v>22977456.907000002</v>
          </cell>
          <cell r="N104">
            <v>0.19720742049437123</v>
          </cell>
        </row>
        <row r="105">
          <cell r="A105" t="str">
            <v>Thailand</v>
          </cell>
          <cell r="B105">
            <v>428</v>
          </cell>
          <cell r="C105">
            <v>31497147.537</v>
          </cell>
          <cell r="D105">
            <v>23275316.629000001</v>
          </cell>
          <cell r="E105">
            <v>54772464.166000001</v>
          </cell>
          <cell r="F105">
            <v>5314926.4160000002</v>
          </cell>
          <cell r="G105">
            <v>1321112.7069999999</v>
          </cell>
          <cell r="H105">
            <v>1207072.737</v>
          </cell>
          <cell r="I105">
            <v>9095812.5059999991</v>
          </cell>
          <cell r="J105">
            <v>8521198.4519999996</v>
          </cell>
          <cell r="K105">
            <v>160.131</v>
          </cell>
          <cell r="L105">
            <v>17058210.557</v>
          </cell>
          <cell r="N105">
            <v>0.22710996211842943</v>
          </cell>
        </row>
        <row r="106">
          <cell r="A106" t="str">
            <v>United Arab Emirates</v>
          </cell>
          <cell r="B106">
            <v>495</v>
          </cell>
          <cell r="C106">
            <v>60098226.191</v>
          </cell>
          <cell r="D106">
            <v>10209344.388</v>
          </cell>
          <cell r="E106">
            <v>70307570.578999996</v>
          </cell>
          <cell r="F106">
            <v>2841740.2540000002</v>
          </cell>
          <cell r="G106">
            <v>2987145.861</v>
          </cell>
          <cell r="H106">
            <v>185842.405</v>
          </cell>
          <cell r="I106">
            <v>28736975.329</v>
          </cell>
          <cell r="J106">
            <v>6261275.8509999998</v>
          </cell>
          <cell r="K106">
            <v>53.289000000000001</v>
          </cell>
          <cell r="L106">
            <v>6966730.6619999995</v>
          </cell>
          <cell r="N106">
            <v>6.5397393283362346E-2</v>
          </cell>
        </row>
        <row r="107">
          <cell r="A107" t="str">
            <v>Vietnam</v>
          </cell>
          <cell r="B107">
            <v>212</v>
          </cell>
          <cell r="C107">
            <v>8554422.9020000007</v>
          </cell>
          <cell r="D107">
            <v>4253136.6150000002</v>
          </cell>
          <cell r="E107">
            <v>12807559.517000001</v>
          </cell>
          <cell r="F107">
            <v>927527.79099999997</v>
          </cell>
          <cell r="G107">
            <v>142905.73300000001</v>
          </cell>
          <cell r="H107">
            <v>151976.86900000001</v>
          </cell>
          <cell r="I107">
            <v>3143103.0350000001</v>
          </cell>
          <cell r="J107">
            <v>999182.46</v>
          </cell>
          <cell r="K107">
            <v>78.757999999999996</v>
          </cell>
          <cell r="L107">
            <v>4178035.0660000001</v>
          </cell>
          <cell r="N107">
            <v>0.16385155299352105</v>
          </cell>
        </row>
        <row r="108">
          <cell r="A108" t="str">
            <v>Asia &amp; Oceania, other countries</v>
          </cell>
          <cell r="B108">
            <v>87</v>
          </cell>
          <cell r="C108">
            <v>801065.47199999995</v>
          </cell>
          <cell r="D108">
            <v>183592.42199999999</v>
          </cell>
          <cell r="E108">
            <v>984657.89399999997</v>
          </cell>
          <cell r="F108">
            <v>57791.07</v>
          </cell>
          <cell r="G108">
            <v>21779.058000000001</v>
          </cell>
          <cell r="H108">
            <v>18217.489000000001</v>
          </cell>
          <cell r="I108">
            <v>1184250.3700000001</v>
          </cell>
          <cell r="J108">
            <v>663691.89199999999</v>
          </cell>
          <cell r="K108">
            <v>4.0069999999999997</v>
          </cell>
          <cell r="L108">
            <v>385946.734</v>
          </cell>
          <cell r="N108">
            <v>0.31523017310459905</v>
          </cell>
        </row>
        <row r="109">
          <cell r="A109" t="str">
            <v>Europe, total</v>
          </cell>
          <cell r="B109">
            <v>1415</v>
          </cell>
          <cell r="C109">
            <v>2077570094.5539999</v>
          </cell>
          <cell r="D109">
            <v>1738999308.9860001</v>
          </cell>
          <cell r="E109">
            <v>3816569403.54</v>
          </cell>
          <cell r="F109">
            <v>354094134.56400001</v>
          </cell>
          <cell r="G109">
            <v>53918184.898999996</v>
          </cell>
          <cell r="H109">
            <v>49442294.894000001</v>
          </cell>
          <cell r="I109">
            <v>8606664598.3950005</v>
          </cell>
          <cell r="J109">
            <v>2299602734.7859998</v>
          </cell>
          <cell r="K109">
            <v>4391.3500000000004</v>
          </cell>
          <cell r="L109">
            <v>790752414.097</v>
          </cell>
          <cell r="N109">
            <v>0.13963036963286285</v>
          </cell>
        </row>
        <row r="110">
          <cell r="A110" t="str">
            <v>Albania</v>
          </cell>
          <cell r="B110">
            <v>16</v>
          </cell>
          <cell r="C110">
            <v>91037.048999999999</v>
          </cell>
          <cell r="D110">
            <v>-19333.305</v>
          </cell>
          <cell r="E110">
            <v>71703.744000000006</v>
          </cell>
          <cell r="F110">
            <v>-12228.249</v>
          </cell>
          <cell r="G110">
            <v>1078.7760000000001</v>
          </cell>
          <cell r="H110">
            <v>1551.6479999999999</v>
          </cell>
          <cell r="I110">
            <v>495.54199999999997</v>
          </cell>
          <cell r="J110">
            <v>15765.906999999999</v>
          </cell>
          <cell r="K110">
            <v>0.22500000000000001</v>
          </cell>
          <cell r="L110">
            <v>38693.366000000002</v>
          </cell>
          <cell r="N110">
            <v>-0.12689044850166201</v>
          </cell>
        </row>
        <row r="111">
          <cell r="A111" t="str">
            <v>Austria</v>
          </cell>
          <cell r="B111">
            <v>409</v>
          </cell>
          <cell r="C111">
            <v>16360639.211999999</v>
          </cell>
          <cell r="D111">
            <v>4740765.7580000004</v>
          </cell>
          <cell r="E111">
            <v>21101404.969999999</v>
          </cell>
          <cell r="F111">
            <v>1127716.798</v>
          </cell>
          <cell r="G111">
            <v>360637.35499999998</v>
          </cell>
          <cell r="H111">
            <v>328982.50699999998</v>
          </cell>
          <cell r="I111">
            <v>9539787.8680000007</v>
          </cell>
          <cell r="J111">
            <v>4861535.4280000003</v>
          </cell>
          <cell r="K111">
            <v>29.552</v>
          </cell>
          <cell r="L111">
            <v>4744306.1840000004</v>
          </cell>
          <cell r="N111">
            <v>0.2917244006504548</v>
          </cell>
        </row>
        <row r="112">
          <cell r="A112" t="str">
            <v>Belarus</v>
          </cell>
          <cell r="B112">
            <v>37</v>
          </cell>
          <cell r="C112">
            <v>148639.18700000001</v>
          </cell>
          <cell r="D112">
            <v>60407.165000000001</v>
          </cell>
          <cell r="E112">
            <v>209046.35200000001</v>
          </cell>
          <cell r="F112">
            <v>30776.223999999998</v>
          </cell>
          <cell r="G112">
            <v>6519.43</v>
          </cell>
          <cell r="H112">
            <v>4965.1019999999999</v>
          </cell>
          <cell r="I112">
            <v>64228.243999999999</v>
          </cell>
          <cell r="J112">
            <v>18950.688999999998</v>
          </cell>
          <cell r="K112">
            <v>1.478</v>
          </cell>
          <cell r="L112">
            <v>65354.430999999997</v>
          </cell>
          <cell r="N112">
            <v>0.16132914811121729</v>
          </cell>
        </row>
        <row r="113">
          <cell r="A113" t="str">
            <v>Belgium</v>
          </cell>
          <cell r="B113">
            <v>591</v>
          </cell>
          <cell r="C113">
            <v>50313592.721000001</v>
          </cell>
          <cell r="D113">
            <v>109280120.61399999</v>
          </cell>
          <cell r="E113">
            <v>159593713.33399999</v>
          </cell>
          <cell r="F113">
            <v>7638717.4050000003</v>
          </cell>
          <cell r="G113">
            <v>1896432.878</v>
          </cell>
          <cell r="H113">
            <v>1529023.801</v>
          </cell>
          <cell r="I113">
            <v>73863694.115999997</v>
          </cell>
          <cell r="J113">
            <v>38695236.255999997</v>
          </cell>
          <cell r="K113">
            <v>108.126</v>
          </cell>
          <cell r="L113">
            <v>46801414.501000002</v>
          </cell>
          <cell r="N113">
            <v>0.20016760928990016</v>
          </cell>
        </row>
        <row r="114">
          <cell r="A114" t="str">
            <v>Bosnia-Herzegovina</v>
          </cell>
          <cell r="B114">
            <v>26</v>
          </cell>
          <cell r="C114">
            <v>153927.58900000001</v>
          </cell>
          <cell r="D114">
            <v>21677.751</v>
          </cell>
          <cell r="E114">
            <v>175605.34</v>
          </cell>
          <cell r="F114">
            <v>21170.720000000001</v>
          </cell>
          <cell r="G114">
            <v>2667.28</v>
          </cell>
          <cell r="H114">
            <v>3007.5349999999999</v>
          </cell>
          <cell r="I114">
            <v>43741.275999999998</v>
          </cell>
          <cell r="J114">
            <v>45078.832000000002</v>
          </cell>
          <cell r="K114">
            <v>1.99</v>
          </cell>
          <cell r="L114">
            <v>71303.112999999998</v>
          </cell>
          <cell r="N114">
            <v>0.14206106358215495</v>
          </cell>
        </row>
        <row r="115">
          <cell r="A115" t="str">
            <v>Bulgaria</v>
          </cell>
          <cell r="B115">
            <v>135</v>
          </cell>
          <cell r="C115">
            <v>1915210.983</v>
          </cell>
          <cell r="D115">
            <v>1428891.173</v>
          </cell>
          <cell r="E115">
            <v>3344102.156</v>
          </cell>
          <cell r="F115">
            <v>175728.46799999999</v>
          </cell>
          <cell r="G115">
            <v>16066.236000000001</v>
          </cell>
          <cell r="H115">
            <v>16562.932000000001</v>
          </cell>
          <cell r="I115">
            <v>1377685.5719999999</v>
          </cell>
          <cell r="J115">
            <v>737402.16599999997</v>
          </cell>
          <cell r="K115">
            <v>28.132999999999999</v>
          </cell>
          <cell r="L115">
            <v>1944945.3540000001</v>
          </cell>
          <cell r="N115">
            <v>9.4252981252872473E-2</v>
          </cell>
        </row>
        <row r="116">
          <cell r="A116" t="str">
            <v>Croatia</v>
          </cell>
          <cell r="B116">
            <v>103</v>
          </cell>
          <cell r="C116">
            <v>765056.32900000003</v>
          </cell>
          <cell r="D116">
            <v>354206.14199999999</v>
          </cell>
          <cell r="E116">
            <v>1119262.4709999999</v>
          </cell>
          <cell r="F116">
            <v>106005.855</v>
          </cell>
          <cell r="G116">
            <v>27535.42</v>
          </cell>
          <cell r="H116">
            <v>21124.423999999999</v>
          </cell>
          <cell r="I116">
            <v>1671163.5989999999</v>
          </cell>
          <cell r="J116">
            <v>217205.764</v>
          </cell>
          <cell r="K116">
            <v>4.6500000000000004</v>
          </cell>
          <cell r="L116">
            <v>347277.26400000002</v>
          </cell>
          <cell r="N116">
            <v>0.19927601168822232</v>
          </cell>
        </row>
        <row r="117">
          <cell r="A117" t="str">
            <v>Cyprus</v>
          </cell>
          <cell r="B117">
            <v>127</v>
          </cell>
          <cell r="C117">
            <v>524329.28599999996</v>
          </cell>
          <cell r="D117">
            <v>1431253.064</v>
          </cell>
          <cell r="E117">
            <v>1955582.35</v>
          </cell>
          <cell r="F117">
            <v>839615.86100000003</v>
          </cell>
          <cell r="G117">
            <v>57562.84</v>
          </cell>
          <cell r="H117">
            <v>58417.038</v>
          </cell>
          <cell r="I117">
            <v>111185586.851</v>
          </cell>
          <cell r="J117">
            <v>-9419841.8110000007</v>
          </cell>
          <cell r="K117">
            <v>2.0379999999999998</v>
          </cell>
          <cell r="L117">
            <v>279885.57199999999</v>
          </cell>
          <cell r="N117">
            <v>6.9575910500814131E-2</v>
          </cell>
        </row>
        <row r="118">
          <cell r="A118" t="str">
            <v>Czech Republic</v>
          </cell>
          <cell r="B118">
            <v>372</v>
          </cell>
          <cell r="C118">
            <v>11728029.373</v>
          </cell>
          <cell r="D118">
            <v>8533396.5810000002</v>
          </cell>
          <cell r="E118">
            <v>20261425.954</v>
          </cell>
          <cell r="F118">
            <v>1399046.9480000001</v>
          </cell>
          <cell r="G118">
            <v>270967.55800000002</v>
          </cell>
          <cell r="H118">
            <v>305187.57900000003</v>
          </cell>
          <cell r="I118">
            <v>6049568.1830000002</v>
          </cell>
          <cell r="J118">
            <v>4378292.2240000004</v>
          </cell>
          <cell r="K118">
            <v>93.722999999999999</v>
          </cell>
          <cell r="L118">
            <v>5971588.4239999996</v>
          </cell>
          <cell r="N118">
            <v>0.21813962671966031</v>
          </cell>
        </row>
        <row r="119">
          <cell r="A119" t="str">
            <v>Denmark</v>
          </cell>
          <cell r="B119">
            <v>411</v>
          </cell>
          <cell r="C119">
            <v>13482945.323000001</v>
          </cell>
          <cell r="D119">
            <v>6487901.1950000003</v>
          </cell>
          <cell r="E119">
            <v>19970846.517999999</v>
          </cell>
          <cell r="F119">
            <v>-4886990.8870000001</v>
          </cell>
          <cell r="G119">
            <v>741535.49699999997</v>
          </cell>
          <cell r="H119">
            <v>243663.82399999999</v>
          </cell>
          <cell r="I119">
            <v>61890635.43</v>
          </cell>
          <cell r="J119">
            <v>6766776.9500000002</v>
          </cell>
          <cell r="K119">
            <v>33.92</v>
          </cell>
          <cell r="L119">
            <v>7831086.5369999995</v>
          </cell>
          <cell r="N119">
            <v>-4.9859684544977544E-2</v>
          </cell>
        </row>
        <row r="120">
          <cell r="A120" t="str">
            <v>Estonia</v>
          </cell>
          <cell r="B120">
            <v>83</v>
          </cell>
          <cell r="C120">
            <v>459388.84899999999</v>
          </cell>
          <cell r="D120">
            <v>353040.288</v>
          </cell>
          <cell r="E120">
            <v>812429.13699999999</v>
          </cell>
          <cell r="F120">
            <v>53689.962</v>
          </cell>
          <cell r="G120">
            <v>2312.8690000000001</v>
          </cell>
          <cell r="H120">
            <v>3812.0459999999998</v>
          </cell>
          <cell r="I120">
            <v>211197.65</v>
          </cell>
          <cell r="J120">
            <v>373205.16600000003</v>
          </cell>
          <cell r="K120">
            <v>4.8940000000000001</v>
          </cell>
          <cell r="L120">
            <v>202001.25399999999</v>
          </cell>
          <cell r="N120">
            <v>7.1001093276989086E-2</v>
          </cell>
        </row>
        <row r="121">
          <cell r="A121" t="str">
            <v>Finland</v>
          </cell>
          <cell r="B121">
            <v>345</v>
          </cell>
          <cell r="C121">
            <v>8619826.9030000009</v>
          </cell>
          <cell r="D121">
            <v>3866729.6310000001</v>
          </cell>
          <cell r="E121">
            <v>12486556.534</v>
          </cell>
          <cell r="F121">
            <v>243863.39</v>
          </cell>
          <cell r="G121">
            <v>189277.12700000001</v>
          </cell>
          <cell r="H121">
            <v>154379.64199999999</v>
          </cell>
          <cell r="I121">
            <v>9404514.6290000007</v>
          </cell>
          <cell r="J121">
            <v>-6083772.0860000001</v>
          </cell>
          <cell r="K121">
            <v>22.390999999999998</v>
          </cell>
          <cell r="L121">
            <v>5138971.0449999999</v>
          </cell>
          <cell r="N121">
            <v>0.63305788540051044</v>
          </cell>
        </row>
        <row r="122">
          <cell r="A122" t="str">
            <v>France</v>
          </cell>
          <cell r="B122">
            <v>824</v>
          </cell>
          <cell r="C122">
            <v>142558938.66600001</v>
          </cell>
          <cell r="D122">
            <v>50254888.545999996</v>
          </cell>
          <cell r="E122">
            <v>192813827.21200001</v>
          </cell>
          <cell r="F122">
            <v>5786051.1660000002</v>
          </cell>
          <cell r="G122">
            <v>4222774.9529999997</v>
          </cell>
          <cell r="H122">
            <v>3516102.6809999999</v>
          </cell>
          <cell r="I122">
            <v>161441644.993</v>
          </cell>
          <cell r="J122">
            <v>38741248.369000003</v>
          </cell>
          <cell r="K122">
            <v>372.846</v>
          </cell>
          <cell r="L122">
            <v>47090264.517999999</v>
          </cell>
          <cell r="N122">
            <v>0.60768606777301348</v>
          </cell>
        </row>
        <row r="123">
          <cell r="A123" t="str">
            <v>Germany</v>
          </cell>
          <cell r="B123">
            <v>964</v>
          </cell>
          <cell r="C123">
            <v>236155546.30500001</v>
          </cell>
          <cell r="D123">
            <v>111430433.73199999</v>
          </cell>
          <cell r="E123">
            <v>347585980.03799999</v>
          </cell>
          <cell r="F123">
            <v>15602586.376</v>
          </cell>
          <cell r="G123">
            <v>5990739.6859999998</v>
          </cell>
          <cell r="H123">
            <v>5624058.3399999999</v>
          </cell>
          <cell r="I123">
            <v>315837753.34899998</v>
          </cell>
          <cell r="J123">
            <v>10174009.756999999</v>
          </cell>
          <cell r="K123">
            <v>586.51599999999996</v>
          </cell>
          <cell r="L123">
            <v>72263835.791999996</v>
          </cell>
          <cell r="N123">
            <v>0.36045679892219429</v>
          </cell>
        </row>
        <row r="124">
          <cell r="A124" t="str">
            <v>Greece</v>
          </cell>
          <cell r="B124">
            <v>207</v>
          </cell>
          <cell r="C124">
            <v>4888057.84</v>
          </cell>
          <cell r="D124">
            <v>946996.53899999999</v>
          </cell>
          <cell r="E124">
            <v>5835054.3789999997</v>
          </cell>
          <cell r="F124">
            <v>442027.76299999998</v>
          </cell>
          <cell r="G124">
            <v>90855.03</v>
          </cell>
          <cell r="H124">
            <v>120487.514</v>
          </cell>
          <cell r="I124">
            <v>2277142.6140000001</v>
          </cell>
          <cell r="J124">
            <v>488138.35600000003</v>
          </cell>
          <cell r="K124">
            <v>15.218</v>
          </cell>
          <cell r="L124">
            <v>1265445.273</v>
          </cell>
          <cell r="N124">
            <v>0.27257906422497719</v>
          </cell>
        </row>
        <row r="125">
          <cell r="A125" t="str">
            <v>Guernsey</v>
          </cell>
          <cell r="B125">
            <v>44</v>
          </cell>
          <cell r="C125">
            <v>245145.90700000001</v>
          </cell>
          <cell r="D125">
            <v>249102.264</v>
          </cell>
          <cell r="E125">
            <v>494248.17099999997</v>
          </cell>
          <cell r="F125">
            <v>62800.385999999999</v>
          </cell>
          <cell r="G125">
            <v>6745.567</v>
          </cell>
          <cell r="H125">
            <v>6474.2749999999996</v>
          </cell>
          <cell r="I125">
            <v>7230755.3760000002</v>
          </cell>
          <cell r="J125">
            <v>-335107.5</v>
          </cell>
          <cell r="K125">
            <v>0.64200000000000002</v>
          </cell>
          <cell r="L125">
            <v>177068.08199999999</v>
          </cell>
          <cell r="N125">
            <v>0.10309291729512618</v>
          </cell>
        </row>
        <row r="126">
          <cell r="A126" t="str">
            <v>Hungary</v>
          </cell>
          <cell r="B126">
            <v>312</v>
          </cell>
          <cell r="C126">
            <v>9692172.3499999996</v>
          </cell>
          <cell r="D126">
            <v>7615440.4270000001</v>
          </cell>
          <cell r="E126">
            <v>17307612.776999999</v>
          </cell>
          <cell r="F126">
            <v>4773079.3130000001</v>
          </cell>
          <cell r="G126">
            <v>166678.22700000001</v>
          </cell>
          <cell r="H126">
            <v>262470.897</v>
          </cell>
          <cell r="I126">
            <v>53126062.369999997</v>
          </cell>
          <cell r="J126">
            <v>26782419.423999999</v>
          </cell>
          <cell r="K126">
            <v>70.433999999999997</v>
          </cell>
          <cell r="L126">
            <v>4544220.8169999998</v>
          </cell>
          <cell r="N126">
            <v>5.4989846132481396E-2</v>
          </cell>
        </row>
        <row r="127">
          <cell r="A127" t="str">
            <v>Iceland</v>
          </cell>
          <cell r="B127">
            <v>36</v>
          </cell>
          <cell r="C127">
            <v>198433.39300000001</v>
          </cell>
          <cell r="D127">
            <v>1453170.375</v>
          </cell>
          <cell r="E127">
            <v>1651603.7679999999</v>
          </cell>
          <cell r="F127">
            <v>-246898.70800000001</v>
          </cell>
          <cell r="G127">
            <v>4599.9229999999998</v>
          </cell>
          <cell r="H127">
            <v>-419.89100000000002</v>
          </cell>
          <cell r="I127">
            <v>2067139.8049999999</v>
          </cell>
          <cell r="J127">
            <v>-1234106.3870000001</v>
          </cell>
          <cell r="K127">
            <v>1.9370000000000001</v>
          </cell>
          <cell r="L127">
            <v>2037034.334</v>
          </cell>
          <cell r="N127">
            <v>1.7006609852328592E-3</v>
          </cell>
        </row>
        <row r="128">
          <cell r="A128" t="str">
            <v>Ireland</v>
          </cell>
          <cell r="B128">
            <v>632</v>
          </cell>
          <cell r="C128">
            <v>321883268.037</v>
          </cell>
          <cell r="D128">
            <v>414108392.08600003</v>
          </cell>
          <cell r="E128">
            <v>735991660.12199998</v>
          </cell>
          <cell r="F128">
            <v>55102285.107000001</v>
          </cell>
          <cell r="G128">
            <v>9985608.5859999992</v>
          </cell>
          <cell r="H128">
            <v>9677862.2980000004</v>
          </cell>
          <cell r="I128">
            <v>611314389.71500003</v>
          </cell>
          <cell r="J128">
            <v>44645935.144000001</v>
          </cell>
          <cell r="K128">
            <v>163.179</v>
          </cell>
          <cell r="L128">
            <v>103273656.142</v>
          </cell>
          <cell r="N128">
            <v>0.17563450007939069</v>
          </cell>
        </row>
        <row r="129">
          <cell r="A129" t="str">
            <v>Italy</v>
          </cell>
          <cell r="B129">
            <v>728</v>
          </cell>
          <cell r="C129">
            <v>82767105.605000004</v>
          </cell>
          <cell r="D129">
            <v>20870889.028000001</v>
          </cell>
          <cell r="E129">
            <v>103637994.632</v>
          </cell>
          <cell r="F129">
            <v>3279207.1009999998</v>
          </cell>
          <cell r="G129">
            <v>1816649.2209999999</v>
          </cell>
          <cell r="H129">
            <v>2032223.33</v>
          </cell>
          <cell r="I129">
            <v>55446379.469999999</v>
          </cell>
          <cell r="J129">
            <v>14339209.48</v>
          </cell>
          <cell r="K129">
            <v>202.696</v>
          </cell>
          <cell r="L129">
            <v>25810517.574000001</v>
          </cell>
          <cell r="N129">
            <v>0.61973009554055614</v>
          </cell>
        </row>
        <row r="130">
          <cell r="A130" t="str">
            <v>Jersey</v>
          </cell>
          <cell r="B130">
            <v>93</v>
          </cell>
          <cell r="C130">
            <v>5963256.0460000001</v>
          </cell>
          <cell r="D130">
            <v>5551750.0899999999</v>
          </cell>
          <cell r="E130">
            <v>11515006.136</v>
          </cell>
          <cell r="F130">
            <v>1974273.959</v>
          </cell>
          <cell r="G130">
            <v>46598.290999999997</v>
          </cell>
          <cell r="H130">
            <v>29240.530999999999</v>
          </cell>
          <cell r="I130">
            <v>132135537.92299999</v>
          </cell>
          <cell r="J130">
            <v>214686447.98699999</v>
          </cell>
          <cell r="K130">
            <v>0.42</v>
          </cell>
          <cell r="L130">
            <v>734997.46</v>
          </cell>
          <cell r="N130">
            <v>1.48107768259329E-2</v>
          </cell>
        </row>
        <row r="131">
          <cell r="A131" t="str">
            <v>Latvia</v>
          </cell>
          <cell r="B131">
            <v>69</v>
          </cell>
          <cell r="C131">
            <v>213362.46299999999</v>
          </cell>
          <cell r="D131">
            <v>242477.29699999999</v>
          </cell>
          <cell r="E131">
            <v>455839.76</v>
          </cell>
          <cell r="F131">
            <v>25709.095000000001</v>
          </cell>
          <cell r="G131">
            <v>1352.7719999999999</v>
          </cell>
          <cell r="H131">
            <v>4852.8029999999999</v>
          </cell>
          <cell r="I131">
            <v>49817.597000000002</v>
          </cell>
          <cell r="J131">
            <v>81825.392999999996</v>
          </cell>
          <cell r="K131">
            <v>1.794</v>
          </cell>
          <cell r="L131">
            <v>86328.923999999999</v>
          </cell>
          <cell r="N131">
            <v>0.1887582196106086</v>
          </cell>
        </row>
        <row r="132">
          <cell r="A132" t="str">
            <v>Lithuania</v>
          </cell>
          <cell r="B132">
            <v>93</v>
          </cell>
          <cell r="C132">
            <v>650795.49600000004</v>
          </cell>
          <cell r="D132">
            <v>1088774.851</v>
          </cell>
          <cell r="E132">
            <v>1739570.3470000001</v>
          </cell>
          <cell r="F132">
            <v>337741.62</v>
          </cell>
          <cell r="G132">
            <v>42567.591</v>
          </cell>
          <cell r="H132">
            <v>61888.402000000002</v>
          </cell>
          <cell r="I132">
            <v>3620626.719</v>
          </cell>
          <cell r="J132">
            <v>1124434.699</v>
          </cell>
          <cell r="K132">
            <v>9.6980000000000004</v>
          </cell>
          <cell r="L132">
            <v>506385.79100000003</v>
          </cell>
          <cell r="N132">
            <v>0.18324185808074231</v>
          </cell>
        </row>
        <row r="133">
          <cell r="A133" t="str">
            <v>Luxembourg</v>
          </cell>
          <cell r="B133">
            <v>528</v>
          </cell>
          <cell r="C133">
            <v>38089713.166000001</v>
          </cell>
          <cell r="D133">
            <v>91617297.253000006</v>
          </cell>
          <cell r="E133">
            <v>129707010.419</v>
          </cell>
          <cell r="F133">
            <v>-14420260.532</v>
          </cell>
          <cell r="G133">
            <v>927983.77399999998</v>
          </cell>
          <cell r="H133">
            <v>964958.75600000005</v>
          </cell>
          <cell r="I133">
            <v>1607926514.6229999</v>
          </cell>
          <cell r="J133">
            <v>134369564.56200001</v>
          </cell>
          <cell r="K133">
            <v>14.186999999999999</v>
          </cell>
          <cell r="L133">
            <v>42702448.924000002</v>
          </cell>
          <cell r="N133">
            <v>-6.6916873926005718E-2</v>
          </cell>
        </row>
        <row r="134">
          <cell r="A134" t="str">
            <v>Macedonia</v>
          </cell>
          <cell r="B134">
            <v>18</v>
          </cell>
          <cell r="C134">
            <v>55341.843000000001</v>
          </cell>
          <cell r="D134">
            <v>266207.15299999999</v>
          </cell>
          <cell r="E134">
            <v>321548.99599999998</v>
          </cell>
          <cell r="F134">
            <v>20377.580000000002</v>
          </cell>
          <cell r="G134">
            <v>1500.328</v>
          </cell>
          <cell r="H134">
            <v>1411.454</v>
          </cell>
          <cell r="I134">
            <v>53235.476999999999</v>
          </cell>
          <cell r="J134">
            <v>28233.135999999999</v>
          </cell>
          <cell r="K134">
            <v>5.97</v>
          </cell>
          <cell r="L134">
            <v>182713.51699999999</v>
          </cell>
          <cell r="N134">
            <v>6.9265045211452977E-2</v>
          </cell>
        </row>
        <row r="135">
          <cell r="A135" t="str">
            <v>Malta</v>
          </cell>
          <cell r="B135">
            <v>71</v>
          </cell>
          <cell r="C135">
            <v>2439904.8769999999</v>
          </cell>
          <cell r="D135">
            <v>215165.29</v>
          </cell>
          <cell r="E135">
            <v>2655070.1669999999</v>
          </cell>
          <cell r="F135">
            <v>1737288.773</v>
          </cell>
          <cell r="G135">
            <v>49832.313000000002</v>
          </cell>
          <cell r="H135">
            <v>42211.137000000002</v>
          </cell>
          <cell r="I135">
            <v>55120712.640000001</v>
          </cell>
          <cell r="J135">
            <v>15231555.536</v>
          </cell>
          <cell r="K135">
            <v>2.524</v>
          </cell>
          <cell r="L135">
            <v>652807.37899999996</v>
          </cell>
          <cell r="N135">
            <v>2.4297133358611764E-2</v>
          </cell>
        </row>
        <row r="136">
          <cell r="A136" t="str">
            <v>Monaco</v>
          </cell>
          <cell r="B136">
            <v>20</v>
          </cell>
          <cell r="C136">
            <v>204879.78</v>
          </cell>
          <cell r="D136">
            <v>278640.45500000002</v>
          </cell>
          <cell r="E136">
            <v>483520.23499999999</v>
          </cell>
          <cell r="F136">
            <v>27929.587</v>
          </cell>
          <cell r="G136">
            <v>4327.5410000000002</v>
          </cell>
          <cell r="H136">
            <v>4028.6889999999999</v>
          </cell>
          <cell r="I136">
            <v>28647.275000000001</v>
          </cell>
          <cell r="J136">
            <v>17404.541000000001</v>
          </cell>
          <cell r="K136">
            <v>0.23699999999999999</v>
          </cell>
          <cell r="L136">
            <v>99516.101999999999</v>
          </cell>
          <cell r="N136">
            <v>0.14424448882828092</v>
          </cell>
        </row>
        <row r="137">
          <cell r="A137" t="str">
            <v>Netherlands</v>
          </cell>
          <cell r="B137">
            <v>983</v>
          </cell>
          <cell r="C137">
            <v>133172693.564</v>
          </cell>
          <cell r="D137">
            <v>274805901.62099999</v>
          </cell>
          <cell r="E137">
            <v>407978595.185</v>
          </cell>
          <cell r="F137">
            <v>88564569.423999995</v>
          </cell>
          <cell r="G137">
            <v>6100155.5130000003</v>
          </cell>
          <cell r="H137">
            <v>5198712.1129999999</v>
          </cell>
          <cell r="I137">
            <v>2108394725.7260001</v>
          </cell>
          <cell r="J137">
            <v>751112186.00999999</v>
          </cell>
          <cell r="K137">
            <v>174.328</v>
          </cell>
          <cell r="L137">
            <v>67666560.745000005</v>
          </cell>
          <cell r="N137">
            <v>5.8699682579738344E-2</v>
          </cell>
        </row>
        <row r="138">
          <cell r="A138" t="str">
            <v>Norway</v>
          </cell>
          <cell r="B138">
            <v>346</v>
          </cell>
          <cell r="C138">
            <v>17146831.988000002</v>
          </cell>
          <cell r="D138">
            <v>6982728.1720000003</v>
          </cell>
          <cell r="E138">
            <v>24129560.16</v>
          </cell>
          <cell r="F138">
            <v>864746.31</v>
          </cell>
          <cell r="G138">
            <v>1271355.5120000001</v>
          </cell>
          <cell r="H138">
            <v>1129272.9820000001</v>
          </cell>
          <cell r="I138">
            <v>26337208.254999999</v>
          </cell>
          <cell r="J138">
            <v>5984163.0970000001</v>
          </cell>
          <cell r="K138">
            <v>33.613999999999997</v>
          </cell>
          <cell r="L138">
            <v>10758205.589</v>
          </cell>
          <cell r="N138">
            <v>1.3059008971081936</v>
          </cell>
        </row>
        <row r="139">
          <cell r="A139" t="str">
            <v>Poland</v>
          </cell>
          <cell r="B139">
            <v>526</v>
          </cell>
          <cell r="C139">
            <v>27807974.239</v>
          </cell>
          <cell r="D139">
            <v>17109329.440000001</v>
          </cell>
          <cell r="E139">
            <v>44917303.678999998</v>
          </cell>
          <cell r="F139">
            <v>2966788.659</v>
          </cell>
          <cell r="G139">
            <v>730263.223</v>
          </cell>
          <cell r="H139">
            <v>768384.47699999996</v>
          </cell>
          <cell r="I139">
            <v>18392001.920000002</v>
          </cell>
          <cell r="J139">
            <v>7540341.1900000004</v>
          </cell>
          <cell r="K139">
            <v>263.47899999999998</v>
          </cell>
          <cell r="L139">
            <v>16025281.971999999</v>
          </cell>
          <cell r="N139">
            <v>0.25899535333231161</v>
          </cell>
        </row>
        <row r="140">
          <cell r="A140" t="str">
            <v>Portugal</v>
          </cell>
          <cell r="B140">
            <v>331</v>
          </cell>
          <cell r="C140">
            <v>8707035.9940000009</v>
          </cell>
          <cell r="D140">
            <v>3061529.1090000002</v>
          </cell>
          <cell r="E140">
            <v>11768565.103</v>
          </cell>
          <cell r="F140">
            <v>602270.81000000006</v>
          </cell>
          <cell r="G140">
            <v>188686.76199999999</v>
          </cell>
          <cell r="H140">
            <v>180017.16899999999</v>
          </cell>
          <cell r="I140">
            <v>3152464.8969999999</v>
          </cell>
          <cell r="J140">
            <v>1522726.23</v>
          </cell>
          <cell r="K140">
            <v>45.313000000000002</v>
          </cell>
          <cell r="L140">
            <v>3181048.39</v>
          </cell>
          <cell r="N140">
            <v>0.29889738305597108</v>
          </cell>
        </row>
        <row r="141">
          <cell r="A141" t="str">
            <v>Romania</v>
          </cell>
          <cell r="B141">
            <v>266</v>
          </cell>
          <cell r="C141">
            <v>7185245.7949999999</v>
          </cell>
          <cell r="D141">
            <v>7072121.5710000005</v>
          </cell>
          <cell r="E141">
            <v>14257367.366</v>
          </cell>
          <cell r="F141">
            <v>796827.09199999995</v>
          </cell>
          <cell r="G141">
            <v>132607.679</v>
          </cell>
          <cell r="H141">
            <v>110454.989</v>
          </cell>
          <cell r="I141">
            <v>2730031.5469999998</v>
          </cell>
          <cell r="J141">
            <v>983385.75300000003</v>
          </cell>
          <cell r="K141">
            <v>90.088999999999999</v>
          </cell>
          <cell r="L141">
            <v>4009564.2370000002</v>
          </cell>
          <cell r="N141">
            <v>0.13861851599794753</v>
          </cell>
        </row>
        <row r="142">
          <cell r="A142" t="str">
            <v>Russia</v>
          </cell>
          <cell r="B142">
            <v>447</v>
          </cell>
          <cell r="C142">
            <v>43512935.126999997</v>
          </cell>
          <cell r="D142">
            <v>9636371.2039999999</v>
          </cell>
          <cell r="E142">
            <v>53149306.331</v>
          </cell>
          <cell r="F142">
            <v>3878054.27</v>
          </cell>
          <cell r="G142">
            <v>1195174.321</v>
          </cell>
          <cell r="H142">
            <v>1042882.067</v>
          </cell>
          <cell r="I142">
            <v>12708566.960999999</v>
          </cell>
          <cell r="J142">
            <v>8961613.9079999998</v>
          </cell>
          <cell r="K142">
            <v>181.78</v>
          </cell>
          <cell r="L142">
            <v>12597902.184</v>
          </cell>
          <cell r="N142">
            <v>0.26891889447436745</v>
          </cell>
        </row>
        <row r="143">
          <cell r="A143" t="str">
            <v>Serbia</v>
          </cell>
          <cell r="B143">
            <v>97</v>
          </cell>
          <cell r="C143">
            <v>972493.152</v>
          </cell>
          <cell r="D143">
            <v>642679.76599999995</v>
          </cell>
          <cell r="E143">
            <v>1615172.9180000001</v>
          </cell>
          <cell r="F143">
            <v>202821.30799999999</v>
          </cell>
          <cell r="G143">
            <v>16532.014999999999</v>
          </cell>
          <cell r="H143">
            <v>20138.893</v>
          </cell>
          <cell r="I143">
            <v>2393264.64</v>
          </cell>
          <cell r="J143">
            <v>-127867.18399999999</v>
          </cell>
          <cell r="K143">
            <v>15.997</v>
          </cell>
          <cell r="L143">
            <v>689084.18900000001</v>
          </cell>
          <cell r="N143">
            <v>9.9293773413590261E-2</v>
          </cell>
        </row>
        <row r="144">
          <cell r="A144" t="str">
            <v>Slovakia</v>
          </cell>
          <cell r="B144">
            <v>208</v>
          </cell>
          <cell r="C144">
            <v>5532043.0580000002</v>
          </cell>
          <cell r="D144">
            <v>3126719.0150000001</v>
          </cell>
          <cell r="E144">
            <v>8658762.0730000008</v>
          </cell>
          <cell r="F144">
            <v>116115.57799999999</v>
          </cell>
          <cell r="G144">
            <v>63144.125999999997</v>
          </cell>
          <cell r="H144">
            <v>40126.97</v>
          </cell>
          <cell r="I144">
            <v>2196096.642</v>
          </cell>
          <cell r="J144">
            <v>196617.20600000001</v>
          </cell>
          <cell r="K144">
            <v>47.061</v>
          </cell>
          <cell r="L144">
            <v>2630480.64</v>
          </cell>
          <cell r="N144">
            <v>0.34557783452621665</v>
          </cell>
        </row>
        <row r="145">
          <cell r="A145" t="str">
            <v>Slovenia</v>
          </cell>
          <cell r="B145">
            <v>79</v>
          </cell>
          <cell r="C145">
            <v>1101743.8810000001</v>
          </cell>
          <cell r="D145">
            <v>422779.19400000002</v>
          </cell>
          <cell r="E145">
            <v>1524523.075</v>
          </cell>
          <cell r="F145">
            <v>92987.099000000002</v>
          </cell>
          <cell r="G145">
            <v>19190.528999999999</v>
          </cell>
          <cell r="H145">
            <v>12148.191999999999</v>
          </cell>
          <cell r="I145">
            <v>143563.842</v>
          </cell>
          <cell r="J145">
            <v>359758.576</v>
          </cell>
          <cell r="K145">
            <v>5.1050000000000004</v>
          </cell>
          <cell r="L145">
            <v>507108.36800000002</v>
          </cell>
          <cell r="N145">
            <v>0.13064384340025489</v>
          </cell>
        </row>
        <row r="146">
          <cell r="A146" t="str">
            <v>Spain</v>
          </cell>
          <cell r="B146">
            <v>704</v>
          </cell>
          <cell r="C146">
            <v>64502659.515000001</v>
          </cell>
          <cell r="D146">
            <v>28366939.059999999</v>
          </cell>
          <cell r="E146">
            <v>92869598.575000003</v>
          </cell>
          <cell r="F146">
            <v>5175756.0120000001</v>
          </cell>
          <cell r="G146">
            <v>1263993.3929999999</v>
          </cell>
          <cell r="H146">
            <v>1039286.458</v>
          </cell>
          <cell r="I146">
            <v>62895781.575000003</v>
          </cell>
          <cell r="J146">
            <v>54103070.872000001</v>
          </cell>
          <cell r="K146">
            <v>200.46199999999999</v>
          </cell>
          <cell r="L146">
            <v>22125591.278999999</v>
          </cell>
          <cell r="N146">
            <v>0.20079896648729428</v>
          </cell>
        </row>
        <row r="147">
          <cell r="A147" t="str">
            <v>Sweden</v>
          </cell>
          <cell r="B147">
            <v>557</v>
          </cell>
          <cell r="C147">
            <v>23570886</v>
          </cell>
          <cell r="D147">
            <v>16411121.601</v>
          </cell>
          <cell r="E147">
            <v>39982007.601000004</v>
          </cell>
          <cell r="F147">
            <v>5216209.9570000004</v>
          </cell>
          <cell r="G147">
            <v>1384258.8840000001</v>
          </cell>
          <cell r="H147">
            <v>936867.40700000001</v>
          </cell>
          <cell r="I147">
            <v>121938703.876</v>
          </cell>
          <cell r="J147">
            <v>-17869068.423</v>
          </cell>
          <cell r="K147">
            <v>63.091999999999999</v>
          </cell>
          <cell r="L147">
            <v>7897870.0149999997</v>
          </cell>
          <cell r="N147">
            <v>0.17960692048884103</v>
          </cell>
        </row>
        <row r="148">
          <cell r="A148" t="str">
            <v>Switzerland</v>
          </cell>
          <cell r="B148">
            <v>634</v>
          </cell>
          <cell r="C148">
            <v>216564077.903</v>
          </cell>
          <cell r="D148">
            <v>324673292.63700002</v>
          </cell>
          <cell r="E148">
            <v>541237370.53999996</v>
          </cell>
          <cell r="F148">
            <v>60226786.239</v>
          </cell>
          <cell r="G148">
            <v>3519851.9909999999</v>
          </cell>
          <cell r="H148">
            <v>3321135.3590000002</v>
          </cell>
          <cell r="I148">
            <v>923160174.65499997</v>
          </cell>
          <cell r="J148">
            <v>387512437.00700003</v>
          </cell>
          <cell r="K148">
            <v>82.531999999999996</v>
          </cell>
          <cell r="L148">
            <v>63836059.123999998</v>
          </cell>
          <cell r="N148">
            <v>5.5143824972174772E-2</v>
          </cell>
        </row>
        <row r="149">
          <cell r="A149" t="str">
            <v>Turkey</v>
          </cell>
          <cell r="B149">
            <v>369</v>
          </cell>
          <cell r="C149">
            <v>21384656.509</v>
          </cell>
          <cell r="D149">
            <v>3825910.5240000002</v>
          </cell>
          <cell r="E149">
            <v>25210567.033</v>
          </cell>
          <cell r="F149">
            <v>1332310.6470000001</v>
          </cell>
          <cell r="G149">
            <v>381857.12900000002</v>
          </cell>
          <cell r="H149">
            <v>463247.391</v>
          </cell>
          <cell r="I149">
            <v>9900599.8019999992</v>
          </cell>
          <cell r="J149">
            <v>2378292.7110000001</v>
          </cell>
          <cell r="K149">
            <v>59.216000000000001</v>
          </cell>
          <cell r="L149">
            <v>4882645.6270000003</v>
          </cell>
          <cell r="N149">
            <v>0.34770223599361505</v>
          </cell>
        </row>
        <row r="150">
          <cell r="A150" t="str">
            <v>Ukraine</v>
          </cell>
          <cell r="B150">
            <v>167</v>
          </cell>
          <cell r="C150">
            <v>4019010.2439999999</v>
          </cell>
          <cell r="D150">
            <v>2858488.102</v>
          </cell>
          <cell r="E150">
            <v>6877498.3459999999</v>
          </cell>
          <cell r="F150">
            <v>678278.49699999997</v>
          </cell>
          <cell r="G150">
            <v>110747.11500000001</v>
          </cell>
          <cell r="H150">
            <v>116519.166</v>
          </cell>
          <cell r="I150">
            <v>670993.61699999997</v>
          </cell>
          <cell r="J150">
            <v>1081143.388</v>
          </cell>
          <cell r="K150">
            <v>31.323</v>
          </cell>
          <cell r="L150">
            <v>1522889.1229999999</v>
          </cell>
          <cell r="N150">
            <v>0.17178661348599408</v>
          </cell>
        </row>
        <row r="151">
          <cell r="A151" t="str">
            <v>United Kingdom</v>
          </cell>
          <cell r="B151">
            <v>25</v>
          </cell>
          <cell r="C151">
            <v>251994.32399999999</v>
          </cell>
          <cell r="D151">
            <v>-71704.39</v>
          </cell>
          <cell r="E151">
            <v>180289.93400000001</v>
          </cell>
          <cell r="F151">
            <v>33168.883000000002</v>
          </cell>
          <cell r="G151">
            <v>7875.4639999999999</v>
          </cell>
          <cell r="H151">
            <v>5215.51</v>
          </cell>
          <cell r="I151">
            <v>429278.18400000001</v>
          </cell>
          <cell r="J151">
            <v>1569300.5589999999</v>
          </cell>
          <cell r="K151">
            <v>0.42699999999999999</v>
          </cell>
          <cell r="L151">
            <v>48939.464</v>
          </cell>
          <cell r="N151">
            <v>0.15724105029403612</v>
          </cell>
        </row>
        <row r="152">
          <cell r="A152" t="str">
            <v>Europe, other countries</v>
          </cell>
          <cell r="B152">
            <v>30</v>
          </cell>
          <cell r="C152">
            <v>200983.552</v>
          </cell>
          <cell r="D152">
            <v>-71934.182000000001</v>
          </cell>
          <cell r="E152">
            <v>129049.37</v>
          </cell>
          <cell r="F152">
            <v>32585.366000000002</v>
          </cell>
          <cell r="G152">
            <v>190.33</v>
          </cell>
          <cell r="H152">
            <v>6899.2359999999999</v>
          </cell>
          <cell r="I152">
            <v>6017721.5190000003</v>
          </cell>
          <cell r="J152">
            <v>516879.22899999999</v>
          </cell>
          <cell r="K152">
            <v>0.504</v>
          </cell>
          <cell r="L152">
            <v>53348.012999999999</v>
          </cell>
          <cell r="N152">
            <v>0.21172804994732911</v>
          </cell>
        </row>
        <row r="153">
          <cell r="A153" t="str">
            <v>Foreign controlled domestic corporations (not included above)</v>
          </cell>
          <cell r="B153">
            <v>31</v>
          </cell>
          <cell r="C153">
            <v>350021168.27700001</v>
          </cell>
          <cell r="D153">
            <v>341600325.639</v>
          </cell>
          <cell r="E153">
            <v>691621493.91600001</v>
          </cell>
          <cell r="F153">
            <v>61458206.560999997</v>
          </cell>
          <cell r="G153">
            <v>7376349.9400000004</v>
          </cell>
          <cell r="H153">
            <v>5991505.2379999999</v>
          </cell>
          <cell r="I153">
            <v>646670434.62899995</v>
          </cell>
          <cell r="J153">
            <v>596258595.54700005</v>
          </cell>
          <cell r="K153">
            <v>259.52699999999999</v>
          </cell>
          <cell r="L153">
            <v>279228627.91900003</v>
          </cell>
          <cell r="N153">
            <v>9.7489099882098987E-2</v>
          </cell>
        </row>
        <row r="154">
          <cell r="A154" t="str">
            <v>* Data should be used with caution because of the small number of returns on which they are based.</v>
          </cell>
        </row>
        <row r="155">
          <cell r="A155" t="str">
            <v>[1] The data in this table may differ from other sources of Country by Country (Form 8975) data.  This table includes only Form 8975 data filed by U.S. corporations and partnerships. Other sources of Country by Country data may include Form 8975 data filed by other entity types.  Additionally, these tables are based upon data from only one Form 8975 filing per parent entity. Other sources of Country by Country data may include data from all Forms 8975 filed by each parent entity.</v>
          </cell>
        </row>
        <row r="156">
          <cell r="A156" t="str">
            <v>[2] Tax jurisdiction detail exceeds total because some multinational enterprise groups filed information for more than one tax jurisdiction.</v>
          </cell>
        </row>
        <row r="157">
          <cell r="A157" t="str">
            <v>NOTE: Detail may not add to totals because of rounding.</v>
          </cell>
        </row>
        <row r="158">
          <cell r="A158" t="str">
            <v>Source: IRS, Statistics of Income Division, October 2018</v>
          </cell>
        </row>
      </sheetData>
      <sheetData sheetId="31">
        <row r="1">
          <cell r="A1" t="str">
            <v>U.S. MNE Activities:  Preliminary 2019 Statistics, Majority-Owned Foreign Affiliates</v>
          </cell>
          <cell r="D1" t="str">
            <v>Worldwide Activities of U.S. Multinational Enterprises: Preliminary 2019 Statistics | U.S. Bureau of Economic Analysis (BEA)</v>
          </cell>
        </row>
        <row r="3">
          <cell r="A3" t="str">
            <v>Table II.F 1. Value Added of Affiliates, Country by Component</v>
          </cell>
        </row>
        <row r="4">
          <cell r="A4" t="str">
            <v>[Millions of dollars]</v>
          </cell>
        </row>
        <row r="5">
          <cell r="B5" t="str">
            <v>Total</v>
          </cell>
          <cell r="C5" t="str">
            <v>Compensation of employees</v>
          </cell>
          <cell r="D5" t="str">
            <v>Profit-type return 1</v>
          </cell>
          <cell r="E5" t="str">
            <v>Net interest paid 2</v>
          </cell>
          <cell r="F5" t="str">
            <v>Taxes on production and imports 3</v>
          </cell>
          <cell r="G5" t="str">
            <v>Capital consumption allowances 4</v>
          </cell>
          <cell r="I5" t="str">
            <v>Red values means CBC value used</v>
          </cell>
        </row>
        <row r="6">
          <cell r="B6">
            <v>-1</v>
          </cell>
          <cell r="C6">
            <v>-2</v>
          </cell>
          <cell r="D6">
            <v>-3</v>
          </cell>
          <cell r="E6">
            <v>-4</v>
          </cell>
          <cell r="F6">
            <v>-5</v>
          </cell>
          <cell r="G6">
            <v>-6</v>
          </cell>
          <cell r="I6" t="str">
            <v>Profit pr wage</v>
          </cell>
        </row>
        <row r="7">
          <cell r="A7" t="str">
            <v>All countries</v>
          </cell>
          <cell r="B7">
            <v>1436986</v>
          </cell>
          <cell r="C7">
            <v>644468</v>
          </cell>
          <cell r="D7">
            <v>522661</v>
          </cell>
          <cell r="E7">
            <v>-64172</v>
          </cell>
          <cell r="F7">
            <v>182049</v>
          </cell>
          <cell r="G7">
            <v>151980</v>
          </cell>
          <cell r="I7">
            <v>0.81099604635140921</v>
          </cell>
        </row>
        <row r="8">
          <cell r="I8" t="e">
            <v>#DIV/0!</v>
          </cell>
        </row>
        <row r="9">
          <cell r="A9" t="str">
            <v>Canada</v>
          </cell>
          <cell r="B9">
            <v>130731</v>
          </cell>
          <cell r="C9">
            <v>60768</v>
          </cell>
          <cell r="D9">
            <v>35542</v>
          </cell>
          <cell r="E9">
            <v>-1193</v>
          </cell>
          <cell r="F9">
            <v>21794</v>
          </cell>
          <cell r="G9">
            <v>13820</v>
          </cell>
          <cell r="I9">
            <v>0.5848802001053186</v>
          </cell>
        </row>
        <row r="10">
          <cell r="I10" t="e">
            <v>#DIV/0!</v>
          </cell>
        </row>
        <row r="11">
          <cell r="A11" t="str">
            <v>Europe</v>
          </cell>
          <cell r="B11">
            <v>685989</v>
          </cell>
          <cell r="C11">
            <v>328179</v>
          </cell>
          <cell r="D11">
            <v>234316</v>
          </cell>
          <cell r="E11">
            <v>-27028</v>
          </cell>
          <cell r="F11">
            <v>92984</v>
          </cell>
          <cell r="G11">
            <v>57537</v>
          </cell>
          <cell r="I11">
            <v>0.71398840267049379</v>
          </cell>
        </row>
        <row r="12">
          <cell r="A12" t="str">
            <v>Austria</v>
          </cell>
          <cell r="B12">
            <v>6108</v>
          </cell>
          <cell r="C12">
            <v>3453</v>
          </cell>
          <cell r="D12">
            <v>1117</v>
          </cell>
          <cell r="E12">
            <v>4</v>
          </cell>
          <cell r="F12">
            <v>1014</v>
          </cell>
          <cell r="G12">
            <v>520</v>
          </cell>
          <cell r="I12">
            <v>0.32348682305241816</v>
          </cell>
        </row>
        <row r="13">
          <cell r="A13" t="str">
            <v>Belgium</v>
          </cell>
          <cell r="B13">
            <v>26134</v>
          </cell>
          <cell r="C13">
            <v>11246</v>
          </cell>
          <cell r="D13">
            <v>7252</v>
          </cell>
          <cell r="E13">
            <v>-57</v>
          </cell>
          <cell r="F13">
            <v>5247</v>
          </cell>
          <cell r="G13">
            <v>2446</v>
          </cell>
          <cell r="I13">
            <v>0.64485150275653569</v>
          </cell>
        </row>
        <row r="14">
          <cell r="A14" t="str">
            <v>Czech Republic</v>
          </cell>
          <cell r="B14">
            <v>4539</v>
          </cell>
          <cell r="C14">
            <v>2171</v>
          </cell>
          <cell r="D14">
            <v>775</v>
          </cell>
          <cell r="E14" t="str">
            <v>(D)</v>
          </cell>
          <cell r="F14" t="str">
            <v>(D)</v>
          </cell>
          <cell r="G14">
            <v>492</v>
          </cell>
          <cell r="I14">
            <v>0.35697835099032704</v>
          </cell>
        </row>
        <row r="15">
          <cell r="A15" t="str">
            <v>Denmark</v>
          </cell>
          <cell r="B15">
            <v>5846</v>
          </cell>
          <cell r="C15">
            <v>4229</v>
          </cell>
          <cell r="D15">
            <v>789</v>
          </cell>
          <cell r="E15">
            <v>-56</v>
          </cell>
          <cell r="F15">
            <v>363</v>
          </cell>
          <cell r="G15">
            <v>522</v>
          </cell>
          <cell r="I15">
            <v>0.18656892882478127</v>
          </cell>
        </row>
        <row r="16">
          <cell r="A16" t="str">
            <v>Finland</v>
          </cell>
          <cell r="B16">
            <v>3166</v>
          </cell>
          <cell r="C16">
            <v>1403</v>
          </cell>
          <cell r="D16">
            <v>733</v>
          </cell>
          <cell r="E16" t="str">
            <v>(D)</v>
          </cell>
          <cell r="F16" t="str">
            <v>(D)</v>
          </cell>
          <cell r="G16">
            <v>308</v>
          </cell>
          <cell r="I16">
            <v>0.52245188880969351</v>
          </cell>
        </row>
        <row r="17">
          <cell r="A17" t="str">
            <v>France</v>
          </cell>
          <cell r="B17">
            <v>54805</v>
          </cell>
          <cell r="C17">
            <v>34965</v>
          </cell>
          <cell r="D17">
            <v>8436</v>
          </cell>
          <cell r="E17">
            <v>299</v>
          </cell>
          <cell r="F17">
            <v>6655</v>
          </cell>
          <cell r="G17">
            <v>4451</v>
          </cell>
          <cell r="I17">
            <v>0.24126984126984127</v>
          </cell>
        </row>
        <row r="18">
          <cell r="I18" t="e">
            <v>#DIV/0!</v>
          </cell>
        </row>
        <row r="19">
          <cell r="A19" t="str">
            <v>Germany</v>
          </cell>
          <cell r="B19">
            <v>80935</v>
          </cell>
          <cell r="C19">
            <v>53909</v>
          </cell>
          <cell r="D19">
            <v>7704</v>
          </cell>
          <cell r="E19">
            <v>453</v>
          </cell>
          <cell r="F19">
            <v>12919</v>
          </cell>
          <cell r="G19">
            <v>5950</v>
          </cell>
          <cell r="I19">
            <v>0.14290749225546756</v>
          </cell>
        </row>
        <row r="20">
          <cell r="A20" t="str">
            <v>Greece</v>
          </cell>
          <cell r="B20">
            <v>2239</v>
          </cell>
          <cell r="C20">
            <v>783</v>
          </cell>
          <cell r="D20">
            <v>184</v>
          </cell>
          <cell r="E20" t="str">
            <v>(D)</v>
          </cell>
          <cell r="F20" t="str">
            <v>(D)</v>
          </cell>
          <cell r="G20">
            <v>183</v>
          </cell>
          <cell r="I20">
            <v>0.23499361430395913</v>
          </cell>
        </row>
        <row r="21">
          <cell r="A21" t="str">
            <v>Hungary</v>
          </cell>
          <cell r="B21">
            <v>4273</v>
          </cell>
          <cell r="C21">
            <v>1746</v>
          </cell>
          <cell r="D21">
            <v>1406</v>
          </cell>
          <cell r="E21">
            <v>-171</v>
          </cell>
          <cell r="F21">
            <v>908</v>
          </cell>
          <cell r="G21">
            <v>384</v>
          </cell>
          <cell r="I21">
            <v>0.80526918671248571</v>
          </cell>
        </row>
        <row r="22">
          <cell r="A22" t="str">
            <v>Ireland</v>
          </cell>
          <cell r="B22">
            <v>101637</v>
          </cell>
          <cell r="C22">
            <v>11937</v>
          </cell>
          <cell r="D22">
            <v>87753</v>
          </cell>
          <cell r="E22">
            <v>-6584</v>
          </cell>
          <cell r="F22">
            <v>1750</v>
          </cell>
          <cell r="G22">
            <v>6780</v>
          </cell>
          <cell r="I22">
            <v>7.3513445589344055</v>
          </cell>
        </row>
        <row r="23">
          <cell r="A23" t="str">
            <v>Italy</v>
          </cell>
          <cell r="B23">
            <v>35029</v>
          </cell>
          <cell r="C23">
            <v>16507</v>
          </cell>
          <cell r="D23">
            <v>7128</v>
          </cell>
          <cell r="E23">
            <v>-55</v>
          </cell>
          <cell r="F23">
            <v>8461</v>
          </cell>
          <cell r="G23">
            <v>2988</v>
          </cell>
          <cell r="I23">
            <v>0.43181680499182168</v>
          </cell>
        </row>
        <row r="24">
          <cell r="A24" t="str">
            <v>Luxembourg</v>
          </cell>
          <cell r="B24">
            <v>-5087</v>
          </cell>
          <cell r="C24">
            <v>1754</v>
          </cell>
          <cell r="D24">
            <v>268</v>
          </cell>
          <cell r="E24">
            <v>-9880</v>
          </cell>
          <cell r="F24">
            <v>1511</v>
          </cell>
          <cell r="G24">
            <v>1260</v>
          </cell>
          <cell r="I24">
            <v>0.15279361459521096</v>
          </cell>
        </row>
        <row r="25">
          <cell r="A25" t="str">
            <v>Netherlands</v>
          </cell>
          <cell r="B25">
            <v>55069</v>
          </cell>
          <cell r="C25">
            <v>20364</v>
          </cell>
          <cell r="D25">
            <v>33110</v>
          </cell>
          <cell r="E25">
            <v>-7226</v>
          </cell>
          <cell r="F25">
            <v>4257</v>
          </cell>
          <cell r="G25">
            <v>4564</v>
          </cell>
          <cell r="I25">
            <v>1.6259084659202514</v>
          </cell>
        </row>
        <row r="26">
          <cell r="I26" t="e">
            <v>#DIV/0!</v>
          </cell>
        </row>
        <row r="27">
          <cell r="A27" t="str">
            <v>Norway</v>
          </cell>
          <cell r="B27">
            <v>13627</v>
          </cell>
          <cell r="C27">
            <v>3789</v>
          </cell>
          <cell r="D27">
            <v>5864</v>
          </cell>
          <cell r="E27" t="str">
            <v>(D)</v>
          </cell>
          <cell r="F27" t="str">
            <v>(D)</v>
          </cell>
          <cell r="G27">
            <v>1780</v>
          </cell>
          <cell r="I27">
            <v>1.5476378991818422</v>
          </cell>
        </row>
        <row r="28">
          <cell r="A28" t="str">
            <v>Poland</v>
          </cell>
          <cell r="B28">
            <v>12523</v>
          </cell>
          <cell r="C28">
            <v>6126</v>
          </cell>
          <cell r="D28">
            <v>2784</v>
          </cell>
          <cell r="E28">
            <v>-136</v>
          </cell>
          <cell r="F28">
            <v>2483</v>
          </cell>
          <cell r="G28">
            <v>1266</v>
          </cell>
          <cell r="I28">
            <v>0.4544564152791381</v>
          </cell>
        </row>
        <row r="29">
          <cell r="A29" t="str">
            <v>Portugal</v>
          </cell>
          <cell r="B29">
            <v>3464</v>
          </cell>
          <cell r="C29">
            <v>1271</v>
          </cell>
          <cell r="D29">
            <v>646</v>
          </cell>
          <cell r="E29" t="str">
            <v>(D)</v>
          </cell>
          <cell r="F29" t="str">
            <v>(D)</v>
          </cell>
          <cell r="G29">
            <v>309</v>
          </cell>
          <cell r="I29">
            <v>0.50826121164437454</v>
          </cell>
        </row>
        <row r="30">
          <cell r="A30" t="str">
            <v>Russia</v>
          </cell>
          <cell r="B30">
            <v>12290</v>
          </cell>
          <cell r="C30">
            <v>4183</v>
          </cell>
          <cell r="D30">
            <v>2613</v>
          </cell>
          <cell r="E30">
            <v>-59</v>
          </cell>
          <cell r="F30">
            <v>4021</v>
          </cell>
          <cell r="G30">
            <v>1532</v>
          </cell>
          <cell r="I30">
            <v>0.62467128854888831</v>
          </cell>
        </row>
        <row r="31">
          <cell r="A31" t="str">
            <v>Spain</v>
          </cell>
          <cell r="B31">
            <v>18022</v>
          </cell>
          <cell r="C31">
            <v>11589</v>
          </cell>
          <cell r="D31">
            <v>4976</v>
          </cell>
          <cell r="E31">
            <v>-1120</v>
          </cell>
          <cell r="F31">
            <v>832</v>
          </cell>
          <cell r="G31">
            <v>1745</v>
          </cell>
          <cell r="I31">
            <v>0.4293726809905945</v>
          </cell>
        </row>
        <row r="32">
          <cell r="A32" t="str">
            <v>Sweden</v>
          </cell>
          <cell r="B32">
            <v>8956</v>
          </cell>
          <cell r="C32">
            <v>5552</v>
          </cell>
          <cell r="D32">
            <v>2497</v>
          </cell>
          <cell r="E32">
            <v>-296</v>
          </cell>
          <cell r="F32">
            <v>390</v>
          </cell>
          <cell r="G32">
            <v>813</v>
          </cell>
          <cell r="I32">
            <v>0.44974783861671469</v>
          </cell>
        </row>
        <row r="33">
          <cell r="A33" t="str">
            <v>Switzerland</v>
          </cell>
          <cell r="B33">
            <v>61132</v>
          </cell>
          <cell r="C33">
            <v>13490</v>
          </cell>
          <cell r="D33">
            <v>45529</v>
          </cell>
          <cell r="E33">
            <v>-1170</v>
          </cell>
          <cell r="F33">
            <v>1697</v>
          </cell>
          <cell r="G33">
            <v>1586</v>
          </cell>
          <cell r="I33">
            <v>3.3750185322461084</v>
          </cell>
        </row>
        <row r="34">
          <cell r="A34" t="str">
            <v>Turkey</v>
          </cell>
          <cell r="B34">
            <v>8462</v>
          </cell>
          <cell r="C34">
            <v>1807</v>
          </cell>
          <cell r="D34">
            <v>1483</v>
          </cell>
          <cell r="E34" t="str">
            <v>(D)</v>
          </cell>
          <cell r="F34" t="str">
            <v>(D)</v>
          </cell>
          <cell r="G34">
            <v>355</v>
          </cell>
          <cell r="I34">
            <v>0.82069728832318756</v>
          </cell>
        </row>
        <row r="35">
          <cell r="A35" t="str">
            <v>United Kingdom</v>
          </cell>
          <cell r="B35">
            <v>163802</v>
          </cell>
          <cell r="C35">
            <v>110138</v>
          </cell>
          <cell r="D35">
            <v>15382</v>
          </cell>
          <cell r="E35">
            <v>-745</v>
          </cell>
          <cell r="F35">
            <v>23834</v>
          </cell>
          <cell r="G35">
            <v>15192</v>
          </cell>
          <cell r="I35">
            <v>0.13966115237247817</v>
          </cell>
        </row>
        <row r="36">
          <cell r="A36" t="str">
            <v>Other</v>
          </cell>
          <cell r="B36">
            <v>9018</v>
          </cell>
          <cell r="C36">
            <v>5768</v>
          </cell>
          <cell r="D36">
            <v>-4112</v>
          </cell>
          <cell r="E36" t="str">
            <v>(D)</v>
          </cell>
          <cell r="F36" t="str">
            <v>(D)</v>
          </cell>
          <cell r="G36">
            <v>2112</v>
          </cell>
          <cell r="I36">
            <v>36.001297158113729</v>
          </cell>
        </row>
        <row r="37">
          <cell r="I37" t="e">
            <v>#DIV/0!</v>
          </cell>
        </row>
        <row r="38">
          <cell r="A38" t="str">
            <v>Latin America and Other Western Hemisphere</v>
          </cell>
          <cell r="B38">
            <v>158508</v>
          </cell>
          <cell r="C38">
            <v>63622</v>
          </cell>
          <cell r="D38">
            <v>76193</v>
          </cell>
          <cell r="E38">
            <v>-18724</v>
          </cell>
          <cell r="F38">
            <v>14630</v>
          </cell>
          <cell r="G38">
            <v>22786</v>
          </cell>
          <cell r="I38">
            <v>1.1975888843481814</v>
          </cell>
        </row>
        <row r="39">
          <cell r="I39" t="e">
            <v>#DIV/0!</v>
          </cell>
        </row>
        <row r="40">
          <cell r="A40" t="str">
            <v>South America</v>
          </cell>
          <cell r="B40">
            <v>71248</v>
          </cell>
          <cell r="C40">
            <v>33987</v>
          </cell>
          <cell r="D40">
            <v>17684</v>
          </cell>
          <cell r="E40">
            <v>-953</v>
          </cell>
          <cell r="F40">
            <v>9070</v>
          </cell>
          <cell r="G40">
            <v>11460</v>
          </cell>
          <cell r="I40">
            <v>0.52031659163797928</v>
          </cell>
        </row>
        <row r="41">
          <cell r="A41" t="str">
            <v>Argentina</v>
          </cell>
          <cell r="B41">
            <v>10217</v>
          </cell>
          <cell r="C41">
            <v>4523</v>
          </cell>
          <cell r="D41">
            <v>2016</v>
          </cell>
          <cell r="E41">
            <v>-95</v>
          </cell>
          <cell r="F41">
            <v>2317</v>
          </cell>
          <cell r="G41">
            <v>1455</v>
          </cell>
          <cell r="I41">
            <v>0.44572186601812958</v>
          </cell>
        </row>
        <row r="42">
          <cell r="A42" t="str">
            <v>Brazil</v>
          </cell>
          <cell r="B42">
            <v>34921</v>
          </cell>
          <cell r="C42">
            <v>19637</v>
          </cell>
          <cell r="D42">
            <v>5931</v>
          </cell>
          <cell r="E42">
            <v>-818</v>
          </cell>
          <cell r="F42">
            <v>4817</v>
          </cell>
          <cell r="G42">
            <v>5354</v>
          </cell>
          <cell r="I42">
            <v>0.30203187859652697</v>
          </cell>
        </row>
        <row r="43">
          <cell r="A43" t="str">
            <v>Chile</v>
          </cell>
          <cell r="B43">
            <v>10303</v>
          </cell>
          <cell r="C43">
            <v>3823</v>
          </cell>
          <cell r="D43">
            <v>4428</v>
          </cell>
          <cell r="E43">
            <v>-323</v>
          </cell>
          <cell r="F43">
            <v>302</v>
          </cell>
          <cell r="G43">
            <v>2073</v>
          </cell>
          <cell r="I43">
            <v>1.1582526811404656</v>
          </cell>
        </row>
        <row r="44">
          <cell r="A44" t="str">
            <v>Colombia</v>
          </cell>
          <cell r="B44">
            <v>5344</v>
          </cell>
          <cell r="C44">
            <v>2671</v>
          </cell>
          <cell r="D44">
            <v>1319</v>
          </cell>
          <cell r="E44">
            <v>-105</v>
          </cell>
          <cell r="F44">
            <v>641</v>
          </cell>
          <cell r="G44">
            <v>817</v>
          </cell>
          <cell r="I44">
            <v>0.4938225383751404</v>
          </cell>
        </row>
        <row r="45">
          <cell r="A45" t="str">
            <v>Ecuador</v>
          </cell>
          <cell r="B45">
            <v>989</v>
          </cell>
          <cell r="C45">
            <v>413</v>
          </cell>
          <cell r="D45">
            <v>416</v>
          </cell>
          <cell r="E45">
            <v>29</v>
          </cell>
          <cell r="F45">
            <v>37</v>
          </cell>
          <cell r="G45">
            <v>95</v>
          </cell>
          <cell r="I45">
            <v>1.0072639225181599</v>
          </cell>
        </row>
        <row r="46">
          <cell r="A46" t="str">
            <v>Peru</v>
          </cell>
          <cell r="B46">
            <v>6673</v>
          </cell>
          <cell r="C46">
            <v>1728</v>
          </cell>
          <cell r="D46">
            <v>2917</v>
          </cell>
          <cell r="E46">
            <v>426</v>
          </cell>
          <cell r="F46">
            <v>562</v>
          </cell>
          <cell r="G46">
            <v>1040</v>
          </cell>
          <cell r="I46">
            <v>1.6880787037037037</v>
          </cell>
        </row>
        <row r="47">
          <cell r="A47" t="str">
            <v>Venezuela</v>
          </cell>
          <cell r="B47">
            <v>1431</v>
          </cell>
          <cell r="C47">
            <v>606</v>
          </cell>
          <cell r="D47">
            <v>425</v>
          </cell>
          <cell r="E47">
            <v>-125</v>
          </cell>
          <cell r="F47">
            <v>265</v>
          </cell>
          <cell r="G47">
            <v>259</v>
          </cell>
          <cell r="I47">
            <v>0.70132013201320131</v>
          </cell>
        </row>
        <row r="48">
          <cell r="A48" t="str">
            <v>Other</v>
          </cell>
          <cell r="B48">
            <v>1370</v>
          </cell>
          <cell r="C48">
            <v>585</v>
          </cell>
          <cell r="D48">
            <v>231</v>
          </cell>
          <cell r="E48">
            <v>59</v>
          </cell>
          <cell r="F48">
            <v>129</v>
          </cell>
          <cell r="G48">
            <v>366</v>
          </cell>
          <cell r="I48">
            <v>0.39487179487179486</v>
          </cell>
        </row>
        <row r="49">
          <cell r="I49" t="e">
            <v>#DIV/0!</v>
          </cell>
        </row>
        <row r="50">
          <cell r="A50" t="str">
            <v>Central America</v>
          </cell>
          <cell r="B50">
            <v>61267</v>
          </cell>
          <cell r="C50">
            <v>25650</v>
          </cell>
          <cell r="D50">
            <v>24122</v>
          </cell>
          <cell r="E50">
            <v>-1464</v>
          </cell>
          <cell r="F50">
            <v>4595</v>
          </cell>
          <cell r="G50">
            <v>8364</v>
          </cell>
          <cell r="I50">
            <v>0.94042884990253406</v>
          </cell>
        </row>
        <row r="51">
          <cell r="A51" t="str">
            <v>Costa Rica</v>
          </cell>
          <cell r="B51">
            <v>3021</v>
          </cell>
          <cell r="C51">
            <v>1691</v>
          </cell>
          <cell r="D51">
            <v>972</v>
          </cell>
          <cell r="E51">
            <v>-49</v>
          </cell>
          <cell r="F51">
            <v>105</v>
          </cell>
          <cell r="G51">
            <v>302</v>
          </cell>
          <cell r="I51">
            <v>0.57480780603193382</v>
          </cell>
        </row>
        <row r="52">
          <cell r="A52" t="str">
            <v>Honduras</v>
          </cell>
          <cell r="B52">
            <v>785</v>
          </cell>
          <cell r="C52">
            <v>382</v>
          </cell>
          <cell r="D52">
            <v>330</v>
          </cell>
          <cell r="E52">
            <v>-43</v>
          </cell>
          <cell r="F52">
            <v>13</v>
          </cell>
          <cell r="G52">
            <v>103</v>
          </cell>
          <cell r="I52">
            <v>0.86387434554973819</v>
          </cell>
        </row>
        <row r="53">
          <cell r="A53" t="str">
            <v>Mexico</v>
          </cell>
          <cell r="B53">
            <v>53959</v>
          </cell>
          <cell r="C53">
            <v>22108</v>
          </cell>
          <cell r="D53">
            <v>21575</v>
          </cell>
          <cell r="E53">
            <v>-1304</v>
          </cell>
          <cell r="F53">
            <v>4054</v>
          </cell>
          <cell r="G53">
            <v>7526</v>
          </cell>
          <cell r="I53">
            <v>0.97589108015198123</v>
          </cell>
        </row>
        <row r="54">
          <cell r="A54" t="str">
            <v>Panama</v>
          </cell>
          <cell r="B54">
            <v>1110</v>
          </cell>
          <cell r="C54">
            <v>561</v>
          </cell>
          <cell r="D54">
            <v>322</v>
          </cell>
          <cell r="E54">
            <v>-22</v>
          </cell>
          <cell r="F54">
            <v>47</v>
          </cell>
          <cell r="G54">
            <v>202</v>
          </cell>
          <cell r="I54">
            <v>0.57397504456327986</v>
          </cell>
        </row>
        <row r="55">
          <cell r="A55" t="str">
            <v>Other</v>
          </cell>
          <cell r="B55">
            <v>2392</v>
          </cell>
          <cell r="C55">
            <v>908</v>
          </cell>
          <cell r="D55">
            <v>923</v>
          </cell>
          <cell r="E55">
            <v>-46</v>
          </cell>
          <cell r="F55">
            <v>375</v>
          </cell>
          <cell r="G55">
            <v>231</v>
          </cell>
          <cell r="I55">
            <v>1.0165198237885462</v>
          </cell>
        </row>
        <row r="56">
          <cell r="I56" t="e">
            <v>#DIV/0!</v>
          </cell>
        </row>
        <row r="57">
          <cell r="A57" t="str">
            <v>Other Western Hemisphere</v>
          </cell>
          <cell r="B57">
            <v>25993</v>
          </cell>
          <cell r="C57">
            <v>3985</v>
          </cell>
          <cell r="D57">
            <v>34387</v>
          </cell>
          <cell r="E57">
            <v>-16307</v>
          </cell>
          <cell r="F57">
            <v>965</v>
          </cell>
          <cell r="G57">
            <v>2962</v>
          </cell>
          <cell r="I57">
            <v>8.6291091593475535</v>
          </cell>
        </row>
        <row r="58">
          <cell r="A58" t="str">
            <v>Barbados</v>
          </cell>
          <cell r="B58">
            <v>6534</v>
          </cell>
          <cell r="C58">
            <v>36</v>
          </cell>
          <cell r="D58">
            <v>7661</v>
          </cell>
          <cell r="E58">
            <v>-1268</v>
          </cell>
          <cell r="F58">
            <v>15</v>
          </cell>
          <cell r="G58">
            <v>89</v>
          </cell>
          <cell r="I58">
            <v>212.80555555555554</v>
          </cell>
        </row>
        <row r="59">
          <cell r="A59" t="str">
            <v>Bermuda</v>
          </cell>
          <cell r="B59">
            <v>3602</v>
          </cell>
          <cell r="C59">
            <v>1556</v>
          </cell>
          <cell r="D59">
            <v>9075</v>
          </cell>
          <cell r="E59">
            <v>-8063</v>
          </cell>
          <cell r="F59">
            <v>628</v>
          </cell>
          <cell r="G59">
            <v>406</v>
          </cell>
          <cell r="I59">
            <v>5.8322622107969151</v>
          </cell>
        </row>
        <row r="60">
          <cell r="A60" t="str">
            <v>Dominican Republic</v>
          </cell>
          <cell r="B60">
            <v>1247</v>
          </cell>
          <cell r="C60">
            <v>273</v>
          </cell>
          <cell r="D60">
            <v>799</v>
          </cell>
          <cell r="E60">
            <v>-20</v>
          </cell>
          <cell r="F60">
            <v>91</v>
          </cell>
          <cell r="G60">
            <v>104</v>
          </cell>
          <cell r="I60">
            <v>2.9267399267399266</v>
          </cell>
        </row>
        <row r="61">
          <cell r="A61" t="str">
            <v>United Kingdom Islands, Caribbean</v>
          </cell>
          <cell r="B61">
            <v>11066</v>
          </cell>
          <cell r="C61">
            <v>1117</v>
          </cell>
          <cell r="D61">
            <v>15900</v>
          </cell>
          <cell r="E61">
            <v>-6931</v>
          </cell>
          <cell r="F61">
            <v>142</v>
          </cell>
          <cell r="G61">
            <v>838</v>
          </cell>
          <cell r="I61">
            <v>14.23455684870188</v>
          </cell>
        </row>
        <row r="62">
          <cell r="A62" t="str">
            <v>Other</v>
          </cell>
          <cell r="B62">
            <v>3545</v>
          </cell>
          <cell r="C62">
            <v>1003</v>
          </cell>
          <cell r="D62">
            <v>953</v>
          </cell>
          <cell r="E62">
            <v>-26</v>
          </cell>
          <cell r="F62">
            <v>90</v>
          </cell>
          <cell r="G62">
            <v>1524</v>
          </cell>
          <cell r="I62">
            <v>0.95014955134596213</v>
          </cell>
        </row>
        <row r="63">
          <cell r="I63" t="e">
            <v>#DIV/0!</v>
          </cell>
        </row>
        <row r="64">
          <cell r="A64" t="str">
            <v>Africa</v>
          </cell>
          <cell r="B64">
            <v>33170</v>
          </cell>
          <cell r="C64">
            <v>7392</v>
          </cell>
          <cell r="D64">
            <v>12967</v>
          </cell>
          <cell r="E64">
            <v>16</v>
          </cell>
          <cell r="F64">
            <v>5120</v>
          </cell>
          <cell r="G64">
            <v>7676</v>
          </cell>
          <cell r="I64">
            <v>1.754193722943723</v>
          </cell>
        </row>
        <row r="65">
          <cell r="A65" t="str">
            <v>Egypt</v>
          </cell>
          <cell r="B65">
            <v>5085</v>
          </cell>
          <cell r="C65">
            <v>671</v>
          </cell>
          <cell r="D65">
            <v>2144</v>
          </cell>
          <cell r="E65">
            <v>-81</v>
          </cell>
          <cell r="F65">
            <v>1767</v>
          </cell>
          <cell r="G65">
            <v>583</v>
          </cell>
          <cell r="I65">
            <v>3.1952309985096869</v>
          </cell>
        </row>
        <row r="66">
          <cell r="A66" t="str">
            <v>Nigeria</v>
          </cell>
          <cell r="B66">
            <v>7539</v>
          </cell>
          <cell r="C66">
            <v>993</v>
          </cell>
          <cell r="D66">
            <v>3198</v>
          </cell>
          <cell r="E66" t="str">
            <v>(D)</v>
          </cell>
          <cell r="F66" t="str">
            <v>(D)</v>
          </cell>
          <cell r="G66">
            <v>2563</v>
          </cell>
          <cell r="I66">
            <v>3.2205438066465257</v>
          </cell>
        </row>
        <row r="67">
          <cell r="A67" t="str">
            <v>South Africa</v>
          </cell>
          <cell r="B67">
            <v>6823</v>
          </cell>
          <cell r="C67">
            <v>3393</v>
          </cell>
          <cell r="D67">
            <v>1096</v>
          </cell>
          <cell r="E67">
            <v>155</v>
          </cell>
          <cell r="F67">
            <v>1710</v>
          </cell>
          <cell r="G67">
            <v>469</v>
          </cell>
          <cell r="I67">
            <v>0.32301797819039196</v>
          </cell>
        </row>
        <row r="68">
          <cell r="A68" t="str">
            <v>Other</v>
          </cell>
          <cell r="B68">
            <v>13724</v>
          </cell>
          <cell r="C68">
            <v>2335</v>
          </cell>
          <cell r="D68">
            <v>6529</v>
          </cell>
          <cell r="E68" t="str">
            <v>(D)</v>
          </cell>
          <cell r="F68" t="str">
            <v>(D)</v>
          </cell>
          <cell r="G68">
            <v>4060</v>
          </cell>
          <cell r="I68">
            <v>2.7961456102783724</v>
          </cell>
        </row>
        <row r="69">
          <cell r="I69" t="e">
            <v>#DIV/0!</v>
          </cell>
        </row>
        <row r="70">
          <cell r="A70" t="str">
            <v>Middle East</v>
          </cell>
          <cell r="B70">
            <v>32296</v>
          </cell>
          <cell r="C70">
            <v>14519</v>
          </cell>
          <cell r="D70">
            <v>11358</v>
          </cell>
          <cell r="E70">
            <v>-468</v>
          </cell>
          <cell r="F70">
            <v>2557</v>
          </cell>
          <cell r="G70">
            <v>4330</v>
          </cell>
          <cell r="I70">
            <v>0.78228528135546527</v>
          </cell>
        </row>
        <row r="71">
          <cell r="A71" t="str">
            <v>Israel</v>
          </cell>
          <cell r="B71">
            <v>14260</v>
          </cell>
          <cell r="C71">
            <v>7290</v>
          </cell>
          <cell r="D71">
            <v>3898</v>
          </cell>
          <cell r="E71">
            <v>-80</v>
          </cell>
          <cell r="F71">
            <v>1279</v>
          </cell>
          <cell r="G71">
            <v>1874</v>
          </cell>
          <cell r="I71">
            <v>0.53470507544581614</v>
          </cell>
        </row>
        <row r="72">
          <cell r="A72" t="str">
            <v>Saudi Arabia</v>
          </cell>
          <cell r="B72">
            <v>2845</v>
          </cell>
          <cell r="C72">
            <v>2233</v>
          </cell>
          <cell r="D72">
            <v>254</v>
          </cell>
          <cell r="E72" t="str">
            <v>(D)</v>
          </cell>
          <cell r="F72" t="str">
            <v>(D)</v>
          </cell>
          <cell r="G72">
            <v>269</v>
          </cell>
          <cell r="I72">
            <v>0.11374832064487236</v>
          </cell>
        </row>
        <row r="73">
          <cell r="A73" t="str">
            <v>United Arab Emirates</v>
          </cell>
          <cell r="B73">
            <v>10669</v>
          </cell>
          <cell r="C73">
            <v>3727</v>
          </cell>
          <cell r="D73">
            <v>5370</v>
          </cell>
          <cell r="E73" t="str">
            <v>(D)</v>
          </cell>
          <cell r="F73" t="str">
            <v>(D)</v>
          </cell>
          <cell r="G73">
            <v>692</v>
          </cell>
          <cell r="I73">
            <v>1.4408371344244701</v>
          </cell>
        </row>
        <row r="74">
          <cell r="A74" t="str">
            <v>Other</v>
          </cell>
          <cell r="B74">
            <v>4521</v>
          </cell>
          <cell r="C74">
            <v>1268</v>
          </cell>
          <cell r="D74">
            <v>1835</v>
          </cell>
          <cell r="E74">
            <v>-109</v>
          </cell>
          <cell r="F74">
            <v>33</v>
          </cell>
          <cell r="G74">
            <v>1494</v>
          </cell>
          <cell r="I74">
            <v>1.4471608832807572</v>
          </cell>
        </row>
        <row r="75">
          <cell r="I75" t="e">
            <v>#DIV/0!</v>
          </cell>
        </row>
        <row r="76">
          <cell r="A76" t="str">
            <v>Asia and Pacific</v>
          </cell>
          <cell r="B76">
            <v>396292</v>
          </cell>
          <cell r="C76">
            <v>169987</v>
          </cell>
          <cell r="D76">
            <v>152285</v>
          </cell>
          <cell r="E76">
            <v>-16775</v>
          </cell>
          <cell r="F76">
            <v>44964</v>
          </cell>
          <cell r="G76">
            <v>45831</v>
          </cell>
          <cell r="I76">
            <v>0.8958626247889544</v>
          </cell>
        </row>
        <row r="77">
          <cell r="A77" t="str">
            <v>Australia</v>
          </cell>
          <cell r="B77">
            <v>45849</v>
          </cell>
          <cell r="C77">
            <v>26099</v>
          </cell>
          <cell r="D77">
            <v>5258</v>
          </cell>
          <cell r="E77">
            <v>-263</v>
          </cell>
          <cell r="F77">
            <v>7518</v>
          </cell>
          <cell r="G77">
            <v>7237</v>
          </cell>
          <cell r="I77">
            <v>0.20146365761140272</v>
          </cell>
        </row>
        <row r="78">
          <cell r="A78" t="str">
            <v>China</v>
          </cell>
          <cell r="B78">
            <v>80622</v>
          </cell>
          <cell r="C78">
            <v>33723</v>
          </cell>
          <cell r="D78">
            <v>30623</v>
          </cell>
          <cell r="E78">
            <v>-28</v>
          </cell>
          <cell r="F78">
            <v>4591</v>
          </cell>
          <cell r="G78">
            <v>11713</v>
          </cell>
          <cell r="I78">
            <v>0.90807460783441563</v>
          </cell>
        </row>
        <row r="79">
          <cell r="A79" t="str">
            <v>Hong Kong</v>
          </cell>
          <cell r="B79">
            <v>20601</v>
          </cell>
          <cell r="C79">
            <v>11750</v>
          </cell>
          <cell r="D79">
            <v>8007</v>
          </cell>
          <cell r="E79">
            <v>-1224</v>
          </cell>
          <cell r="F79">
            <v>941</v>
          </cell>
          <cell r="G79">
            <v>1127</v>
          </cell>
          <cell r="I79">
            <v>0.68144680851063832</v>
          </cell>
        </row>
        <row r="80">
          <cell r="A80" t="str">
            <v>India</v>
          </cell>
          <cell r="B80">
            <v>37857</v>
          </cell>
          <cell r="C80">
            <v>26653</v>
          </cell>
          <cell r="D80">
            <v>7961</v>
          </cell>
          <cell r="E80">
            <v>-1486</v>
          </cell>
          <cell r="F80">
            <v>1923</v>
          </cell>
          <cell r="G80">
            <v>2805</v>
          </cell>
          <cell r="I80">
            <v>0.29869057892169737</v>
          </cell>
        </row>
        <row r="81">
          <cell r="A81" t="str">
            <v>Indonesia</v>
          </cell>
          <cell r="B81">
            <v>13251</v>
          </cell>
          <cell r="C81">
            <v>2139</v>
          </cell>
          <cell r="D81">
            <v>4061</v>
          </cell>
          <cell r="E81" t="str">
            <v>(D)</v>
          </cell>
          <cell r="F81" t="str">
            <v>(D)</v>
          </cell>
          <cell r="G81">
            <v>1838</v>
          </cell>
          <cell r="I81">
            <v>1.8985507246376812</v>
          </cell>
        </row>
        <row r="82">
          <cell r="A82" t="str">
            <v>Japan</v>
          </cell>
          <cell r="B82">
            <v>52169</v>
          </cell>
          <cell r="C82">
            <v>26383</v>
          </cell>
          <cell r="D82">
            <v>23918</v>
          </cell>
          <cell r="E82">
            <v>-6664</v>
          </cell>
          <cell r="F82">
            <v>4280</v>
          </cell>
          <cell r="G82">
            <v>4250</v>
          </cell>
          <cell r="I82">
            <v>0.90656862373498082</v>
          </cell>
        </row>
        <row r="83">
          <cell r="A83" t="str">
            <v>Malaysia</v>
          </cell>
          <cell r="B83">
            <v>10053</v>
          </cell>
          <cell r="C83">
            <v>3614</v>
          </cell>
          <cell r="D83">
            <v>4489</v>
          </cell>
          <cell r="E83">
            <v>-208</v>
          </cell>
          <cell r="F83">
            <v>382</v>
          </cell>
          <cell r="G83">
            <v>1776</v>
          </cell>
          <cell r="I83">
            <v>1.2421140011068068</v>
          </cell>
        </row>
        <row r="84">
          <cell r="A84" t="str">
            <v>New Zealand</v>
          </cell>
          <cell r="B84">
            <v>3795</v>
          </cell>
          <cell r="C84">
            <v>1626</v>
          </cell>
          <cell r="D84">
            <v>902</v>
          </cell>
          <cell r="E84">
            <v>-4</v>
          </cell>
          <cell r="F84">
            <v>1001</v>
          </cell>
          <cell r="G84">
            <v>270</v>
          </cell>
          <cell r="I84">
            <v>0.55473554735547359</v>
          </cell>
        </row>
        <row r="85">
          <cell r="A85" t="str">
            <v>Philippines</v>
          </cell>
          <cell r="B85">
            <v>6524</v>
          </cell>
          <cell r="C85">
            <v>3231</v>
          </cell>
          <cell r="D85">
            <v>1980</v>
          </cell>
          <cell r="E85">
            <v>-49</v>
          </cell>
          <cell r="F85">
            <v>580</v>
          </cell>
          <cell r="G85">
            <v>782</v>
          </cell>
          <cell r="I85">
            <v>0.61281337047353757</v>
          </cell>
        </row>
        <row r="86">
          <cell r="A86" t="str">
            <v>Singapore</v>
          </cell>
          <cell r="B86">
            <v>63444</v>
          </cell>
          <cell r="C86">
            <v>16191</v>
          </cell>
          <cell r="D86">
            <v>45512</v>
          </cell>
          <cell r="E86">
            <v>-6026</v>
          </cell>
          <cell r="F86">
            <v>2983</v>
          </cell>
          <cell r="G86">
            <v>4784</v>
          </cell>
          <cell r="I86">
            <v>2.8109443518003827</v>
          </cell>
        </row>
        <row r="87">
          <cell r="A87" t="str">
            <v>South Korea</v>
          </cell>
          <cell r="B87">
            <v>17289</v>
          </cell>
          <cell r="C87">
            <v>7379</v>
          </cell>
          <cell r="D87">
            <v>5659</v>
          </cell>
          <cell r="E87">
            <v>-555</v>
          </cell>
          <cell r="F87">
            <v>3339</v>
          </cell>
          <cell r="G87">
            <v>1467</v>
          </cell>
          <cell r="I87">
            <v>0.7669060848353435</v>
          </cell>
        </row>
        <row r="88">
          <cell r="A88" t="str">
            <v>Taiwan</v>
          </cell>
          <cell r="B88">
            <v>10386</v>
          </cell>
          <cell r="C88">
            <v>4022</v>
          </cell>
          <cell r="D88">
            <v>3532</v>
          </cell>
          <cell r="E88">
            <v>-360</v>
          </cell>
          <cell r="F88">
            <v>743</v>
          </cell>
          <cell r="G88">
            <v>2450</v>
          </cell>
          <cell r="I88">
            <v>0.87817006464445546</v>
          </cell>
        </row>
        <row r="89">
          <cell r="A89" t="str">
            <v>Thailand</v>
          </cell>
          <cell r="B89">
            <v>15405</v>
          </cell>
          <cell r="C89">
            <v>3386</v>
          </cell>
          <cell r="D89">
            <v>5574</v>
          </cell>
          <cell r="E89">
            <v>-28</v>
          </cell>
          <cell r="F89">
            <v>4010</v>
          </cell>
          <cell r="G89">
            <v>2463</v>
          </cell>
          <cell r="I89">
            <v>1.64619019492026</v>
          </cell>
        </row>
        <row r="90">
          <cell r="A90" t="str">
            <v>Other</v>
          </cell>
          <cell r="B90">
            <v>19049</v>
          </cell>
          <cell r="C90">
            <v>3791</v>
          </cell>
          <cell r="D90">
            <v>4810</v>
          </cell>
          <cell r="E90" t="str">
            <v>(D)</v>
          </cell>
          <cell r="F90" t="str">
            <v>(D)</v>
          </cell>
          <cell r="G90">
            <v>2868</v>
          </cell>
          <cell r="I90">
            <v>1.2687945133210234</v>
          </cell>
        </row>
        <row r="91">
          <cell r="I91" t="e">
            <v>#DIV/0!</v>
          </cell>
        </row>
        <row r="92">
          <cell r="A92" t="str">
            <v>Addendum:</v>
          </cell>
          <cell r="I92" t="e">
            <v>#DIV/0!</v>
          </cell>
        </row>
        <row r="93">
          <cell r="A93" t="str">
            <v>European Union (28)</v>
          </cell>
          <cell r="B93">
            <v>589079</v>
          </cell>
          <cell r="C93">
            <v>303134</v>
          </cell>
          <cell r="D93">
            <v>184011</v>
          </cell>
          <cell r="E93">
            <v>-26141</v>
          </cell>
          <cell r="F93">
            <v>76939</v>
          </cell>
          <cell r="G93">
            <v>51135</v>
          </cell>
          <cell r="I93">
            <v>0.60702857482169603</v>
          </cell>
        </row>
        <row r="94">
          <cell r="A94" t="str">
            <v>OPEC</v>
          </cell>
          <cell r="B94">
            <v>38615</v>
          </cell>
          <cell r="C94">
            <v>8779</v>
          </cell>
          <cell r="D94">
            <v>17455</v>
          </cell>
          <cell r="E94">
            <v>-133</v>
          </cell>
          <cell r="F94">
            <v>3759</v>
          </cell>
          <cell r="G94">
            <v>8754</v>
          </cell>
          <cell r="I94">
            <v>1.9882674564301173</v>
          </cell>
        </row>
      </sheetData>
      <sheetData sheetId="32">
        <row r="5">
          <cell r="H5">
            <v>618371</v>
          </cell>
        </row>
      </sheetData>
      <sheetData sheetId="33" refreshError="1"/>
      <sheetData sheetId="34">
        <row r="2">
          <cell r="G2" t="str">
            <v>country-code</v>
          </cell>
          <cell r="H2" t="str">
            <v>iso_3166-2</v>
          </cell>
          <cell r="I2" t="str">
            <v>region</v>
          </cell>
          <cell r="J2" t="str">
            <v>sub-region</v>
          </cell>
          <cell r="K2" t="str">
            <v>intermediate-region</v>
          </cell>
        </row>
        <row r="3">
          <cell r="G3" t="str">
            <v>AFG</v>
          </cell>
          <cell r="H3">
            <v>4</v>
          </cell>
          <cell r="I3" t="str">
            <v>ISO 3166-2:AF</v>
          </cell>
          <cell r="J3" t="str">
            <v>Asia</v>
          </cell>
          <cell r="K3" t="str">
            <v>Southern Asia</v>
          </cell>
        </row>
        <row r="4">
          <cell r="G4" t="str">
            <v>ALA</v>
          </cell>
          <cell r="H4">
            <v>248</v>
          </cell>
          <cell r="I4" t="str">
            <v>ISO 3166-2:AX</v>
          </cell>
          <cell r="J4" t="str">
            <v>Europe</v>
          </cell>
          <cell r="K4" t="str">
            <v>Northern Europe</v>
          </cell>
        </row>
        <row r="5">
          <cell r="G5" t="str">
            <v>ALB</v>
          </cell>
          <cell r="H5">
            <v>8</v>
          </cell>
          <cell r="I5" t="str">
            <v>ISO 3166-2:AL</v>
          </cell>
          <cell r="J5" t="str">
            <v>Europe</v>
          </cell>
          <cell r="K5" t="str">
            <v>Southern Europe</v>
          </cell>
        </row>
        <row r="6">
          <cell r="G6" t="str">
            <v>DZA</v>
          </cell>
          <cell r="H6">
            <v>12</v>
          </cell>
          <cell r="I6" t="str">
            <v>ISO 3166-2:DZ</v>
          </cell>
          <cell r="J6" t="str">
            <v>Africa</v>
          </cell>
          <cell r="K6" t="str">
            <v>Northern Africa</v>
          </cell>
        </row>
        <row r="7">
          <cell r="G7" t="str">
            <v>ASM</v>
          </cell>
          <cell r="H7">
            <v>16</v>
          </cell>
          <cell r="I7" t="str">
            <v>ISO 3166-2:AS</v>
          </cell>
          <cell r="J7" t="str">
            <v>Oceania</v>
          </cell>
          <cell r="K7" t="str">
            <v>Polynesia</v>
          </cell>
        </row>
        <row r="8">
          <cell r="G8" t="str">
            <v>AND</v>
          </cell>
          <cell r="H8">
            <v>20</v>
          </cell>
          <cell r="I8" t="str">
            <v>ISO 3166-2:AD</v>
          </cell>
          <cell r="J8" t="str">
            <v>Europe</v>
          </cell>
          <cell r="K8" t="str">
            <v>Southern Europe</v>
          </cell>
        </row>
        <row r="9">
          <cell r="G9" t="str">
            <v>AGO</v>
          </cell>
          <cell r="H9">
            <v>24</v>
          </cell>
          <cell r="I9" t="str">
            <v>ISO 3166-2:AO</v>
          </cell>
          <cell r="J9" t="str">
            <v>Africa</v>
          </cell>
          <cell r="K9" t="str">
            <v>Sub-Saharan Africa</v>
          </cell>
        </row>
        <row r="10">
          <cell r="G10" t="str">
            <v>AIA</v>
          </cell>
          <cell r="H10">
            <v>660</v>
          </cell>
          <cell r="I10" t="str">
            <v>ISO 3166-2:AI</v>
          </cell>
          <cell r="J10" t="str">
            <v>Americas</v>
          </cell>
          <cell r="K10" t="str">
            <v>Latin America and the Caribbean</v>
          </cell>
        </row>
        <row r="11">
          <cell r="G11" t="str">
            <v>ATA</v>
          </cell>
          <cell r="H11">
            <v>10</v>
          </cell>
          <cell r="I11" t="str">
            <v>ISO 3166-2:AQ</v>
          </cell>
        </row>
        <row r="12">
          <cell r="G12" t="str">
            <v>ATG</v>
          </cell>
          <cell r="H12">
            <v>28</v>
          </cell>
          <cell r="I12" t="str">
            <v>ISO 3166-2:AG</v>
          </cell>
          <cell r="J12" t="str">
            <v>Americas</v>
          </cell>
          <cell r="K12" t="str">
            <v>Latin America and the Caribbean</v>
          </cell>
        </row>
        <row r="13">
          <cell r="G13" t="str">
            <v>ARG</v>
          </cell>
          <cell r="H13">
            <v>32</v>
          </cell>
          <cell r="I13" t="str">
            <v>ISO 3166-2:AR</v>
          </cell>
          <cell r="J13" t="str">
            <v>Americas</v>
          </cell>
          <cell r="K13" t="str">
            <v>Latin America and the Caribbean</v>
          </cell>
        </row>
        <row r="14">
          <cell r="G14" t="str">
            <v>ARM</v>
          </cell>
          <cell r="H14">
            <v>51</v>
          </cell>
          <cell r="I14" t="str">
            <v>ISO 3166-2:AM</v>
          </cell>
          <cell r="J14" t="str">
            <v>Asia</v>
          </cell>
          <cell r="K14" t="str">
            <v>Western Asia</v>
          </cell>
        </row>
        <row r="15">
          <cell r="G15" t="str">
            <v>ABW</v>
          </cell>
          <cell r="H15">
            <v>533</v>
          </cell>
          <cell r="I15" t="str">
            <v>ISO 3166-2:AW</v>
          </cell>
          <cell r="J15" t="str">
            <v>Americas</v>
          </cell>
          <cell r="K15" t="str">
            <v>Latin America and the Caribbean</v>
          </cell>
        </row>
        <row r="16">
          <cell r="G16" t="str">
            <v>AUS</v>
          </cell>
          <cell r="H16">
            <v>36</v>
          </cell>
          <cell r="I16" t="str">
            <v>ISO 3166-2:AU</v>
          </cell>
          <cell r="J16" t="str">
            <v>Oceania</v>
          </cell>
          <cell r="K16" t="str">
            <v>Australia and New Zealand</v>
          </cell>
        </row>
        <row r="17">
          <cell r="G17" t="str">
            <v>AUT</v>
          </cell>
          <cell r="H17">
            <v>40</v>
          </cell>
          <cell r="I17" t="str">
            <v>ISO 3166-2:AT</v>
          </cell>
          <cell r="J17" t="str">
            <v>Europe</v>
          </cell>
          <cell r="K17" t="str">
            <v>Western Europe</v>
          </cell>
        </row>
        <row r="18">
          <cell r="G18" t="str">
            <v>AZE</v>
          </cell>
          <cell r="H18">
            <v>31</v>
          </cell>
          <cell r="I18" t="str">
            <v>ISO 3166-2:AZ</v>
          </cell>
          <cell r="J18" t="str">
            <v>Asia</v>
          </cell>
          <cell r="K18" t="str">
            <v>Western Asia</v>
          </cell>
        </row>
        <row r="19">
          <cell r="G19" t="str">
            <v>BHS</v>
          </cell>
          <cell r="H19">
            <v>44</v>
          </cell>
          <cell r="I19" t="str">
            <v>ISO 3166-2:BS</v>
          </cell>
          <cell r="J19" t="str">
            <v>Americas</v>
          </cell>
          <cell r="K19" t="str">
            <v>Latin America and the Caribbean</v>
          </cell>
        </row>
        <row r="20">
          <cell r="G20" t="str">
            <v>BHR</v>
          </cell>
          <cell r="H20">
            <v>48</v>
          </cell>
          <cell r="I20" t="str">
            <v>ISO 3166-2:BH</v>
          </cell>
          <cell r="J20" t="str">
            <v>Asia</v>
          </cell>
          <cell r="K20" t="str">
            <v>Western Asia</v>
          </cell>
        </row>
        <row r="21">
          <cell r="G21" t="str">
            <v>BGD</v>
          </cell>
          <cell r="H21">
            <v>50</v>
          </cell>
          <cell r="I21" t="str">
            <v>ISO 3166-2:BD</v>
          </cell>
          <cell r="J21" t="str">
            <v>Asia</v>
          </cell>
          <cell r="K21" t="str">
            <v>Southern Asia</v>
          </cell>
        </row>
        <row r="22">
          <cell r="G22" t="str">
            <v>BRB</v>
          </cell>
          <cell r="H22">
            <v>52</v>
          </cell>
          <cell r="I22" t="str">
            <v>ISO 3166-2:BB</v>
          </cell>
          <cell r="J22" t="str">
            <v>Americas</v>
          </cell>
          <cell r="K22" t="str">
            <v>Latin America and the Caribbean</v>
          </cell>
        </row>
        <row r="23">
          <cell r="G23" t="str">
            <v>BLR</v>
          </cell>
          <cell r="H23">
            <v>112</v>
          </cell>
          <cell r="I23" t="str">
            <v>ISO 3166-2:BY</v>
          </cell>
          <cell r="J23" t="str">
            <v>Europe</v>
          </cell>
          <cell r="K23" t="str">
            <v>Eastern Europe</v>
          </cell>
        </row>
        <row r="24">
          <cell r="G24" t="str">
            <v>BEL</v>
          </cell>
          <cell r="H24">
            <v>56</v>
          </cell>
          <cell r="I24" t="str">
            <v>ISO 3166-2:BE</v>
          </cell>
          <cell r="J24" t="str">
            <v>Europe</v>
          </cell>
          <cell r="K24" t="str">
            <v>Western Europe</v>
          </cell>
        </row>
        <row r="25">
          <cell r="G25" t="str">
            <v>BLZ</v>
          </cell>
          <cell r="H25">
            <v>84</v>
          </cell>
          <cell r="I25" t="str">
            <v>ISO 3166-2:BZ</v>
          </cell>
          <cell r="J25" t="str">
            <v>Americas</v>
          </cell>
          <cell r="K25" t="str">
            <v>Latin America and the Caribbean</v>
          </cell>
        </row>
        <row r="26">
          <cell r="G26" t="str">
            <v>BEN</v>
          </cell>
          <cell r="H26">
            <v>204</v>
          </cell>
          <cell r="I26" t="str">
            <v>ISO 3166-2:BJ</v>
          </cell>
          <cell r="J26" t="str">
            <v>Africa</v>
          </cell>
          <cell r="K26" t="str">
            <v>Sub-Saharan Africa</v>
          </cell>
        </row>
        <row r="27">
          <cell r="G27" t="str">
            <v>BMU</v>
          </cell>
          <cell r="H27">
            <v>60</v>
          </cell>
          <cell r="I27" t="str">
            <v>ISO 3166-2:BM</v>
          </cell>
          <cell r="J27" t="str">
            <v>Americas</v>
          </cell>
          <cell r="K27" t="str">
            <v>Northern America</v>
          </cell>
        </row>
        <row r="28">
          <cell r="G28" t="str">
            <v>BTN</v>
          </cell>
          <cell r="H28">
            <v>64</v>
          </cell>
          <cell r="I28" t="str">
            <v>ISO 3166-2:BT</v>
          </cell>
          <cell r="J28" t="str">
            <v>Asia</v>
          </cell>
          <cell r="K28" t="str">
            <v>Southern Asia</v>
          </cell>
        </row>
        <row r="29">
          <cell r="G29" t="str">
            <v>BOL</v>
          </cell>
          <cell r="H29">
            <v>68</v>
          </cell>
          <cell r="I29" t="str">
            <v>ISO 3166-2:BO</v>
          </cell>
          <cell r="J29" t="str">
            <v>Americas</v>
          </cell>
          <cell r="K29" t="str">
            <v>Latin America and the Caribbean</v>
          </cell>
        </row>
        <row r="30">
          <cell r="G30" t="str">
            <v>BES</v>
          </cell>
          <cell r="H30">
            <v>535</v>
          </cell>
          <cell r="I30" t="str">
            <v>ISO 3166-2:BQ</v>
          </cell>
          <cell r="J30" t="str">
            <v>Americas</v>
          </cell>
          <cell r="K30" t="str">
            <v>Latin America and the Caribbean</v>
          </cell>
        </row>
        <row r="31">
          <cell r="G31" t="str">
            <v>BIH</v>
          </cell>
          <cell r="H31">
            <v>70</v>
          </cell>
          <cell r="I31" t="str">
            <v>ISO 3166-2:BA</v>
          </cell>
          <cell r="J31" t="str">
            <v>Europe</v>
          </cell>
          <cell r="K31" t="str">
            <v>Southern Europe</v>
          </cell>
        </row>
        <row r="32">
          <cell r="G32" t="str">
            <v>BWA</v>
          </cell>
          <cell r="H32">
            <v>72</v>
          </cell>
          <cell r="I32" t="str">
            <v>ISO 3166-2:BW</v>
          </cell>
          <cell r="J32" t="str">
            <v>Africa</v>
          </cell>
          <cell r="K32" t="str">
            <v>Sub-Saharan Africa</v>
          </cell>
        </row>
        <row r="33">
          <cell r="G33" t="str">
            <v>BVT</v>
          </cell>
          <cell r="H33">
            <v>74</v>
          </cell>
          <cell r="I33" t="str">
            <v>ISO 3166-2:BV</v>
          </cell>
          <cell r="J33" t="str">
            <v>Americas</v>
          </cell>
          <cell r="K33" t="str">
            <v>Latin America and the Caribbean</v>
          </cell>
        </row>
        <row r="34">
          <cell r="G34" t="str">
            <v>BRA</v>
          </cell>
          <cell r="H34">
            <v>76</v>
          </cell>
          <cell r="I34" t="str">
            <v>ISO 3166-2:BR</v>
          </cell>
          <cell r="J34" t="str">
            <v>Americas</v>
          </cell>
          <cell r="K34" t="str">
            <v>Latin America and the Caribbean</v>
          </cell>
        </row>
        <row r="35">
          <cell r="G35" t="str">
            <v>IOT</v>
          </cell>
          <cell r="H35">
            <v>86</v>
          </cell>
          <cell r="I35" t="str">
            <v>ISO 3166-2:IO</v>
          </cell>
          <cell r="J35" t="str">
            <v>Africa</v>
          </cell>
          <cell r="K35" t="str">
            <v>Sub-Saharan Africa</v>
          </cell>
        </row>
        <row r="36">
          <cell r="G36" t="str">
            <v>BRN</v>
          </cell>
          <cell r="H36">
            <v>96</v>
          </cell>
          <cell r="I36" t="str">
            <v>ISO 3166-2:BN</v>
          </cell>
          <cell r="J36" t="str">
            <v>Asia</v>
          </cell>
          <cell r="K36" t="str">
            <v>South-eastern Asia</v>
          </cell>
        </row>
        <row r="37">
          <cell r="G37" t="str">
            <v>BGR</v>
          </cell>
          <cell r="H37">
            <v>100</v>
          </cell>
          <cell r="I37" t="str">
            <v>ISO 3166-2:BG</v>
          </cell>
          <cell r="J37" t="str">
            <v>Europe</v>
          </cell>
          <cell r="K37" t="str">
            <v>Eastern Europe</v>
          </cell>
        </row>
        <row r="38">
          <cell r="G38" t="str">
            <v>BFA</v>
          </cell>
          <cell r="H38">
            <v>854</v>
          </cell>
          <cell r="I38" t="str">
            <v>ISO 3166-2:BF</v>
          </cell>
          <cell r="J38" t="str">
            <v>Africa</v>
          </cell>
          <cell r="K38" t="str">
            <v>Sub-Saharan Africa</v>
          </cell>
        </row>
        <row r="39">
          <cell r="G39" t="str">
            <v>BDI</v>
          </cell>
          <cell r="H39">
            <v>108</v>
          </cell>
          <cell r="I39" t="str">
            <v>ISO 3166-2:BI</v>
          </cell>
          <cell r="J39" t="str">
            <v>Africa</v>
          </cell>
          <cell r="K39" t="str">
            <v>Sub-Saharan Africa</v>
          </cell>
        </row>
        <row r="40">
          <cell r="G40" t="str">
            <v>CPV</v>
          </cell>
          <cell r="H40">
            <v>132</v>
          </cell>
          <cell r="I40" t="str">
            <v>ISO 3166-2:CV</v>
          </cell>
          <cell r="J40" t="str">
            <v>Africa</v>
          </cell>
          <cell r="K40" t="str">
            <v>Sub-Saharan Africa</v>
          </cell>
        </row>
        <row r="41">
          <cell r="G41" t="str">
            <v>KHM</v>
          </cell>
          <cell r="H41">
            <v>116</v>
          </cell>
          <cell r="I41" t="str">
            <v>ISO 3166-2:KH</v>
          </cell>
          <cell r="J41" t="str">
            <v>Asia</v>
          </cell>
          <cell r="K41" t="str">
            <v>South-eastern Asia</v>
          </cell>
        </row>
        <row r="42">
          <cell r="G42" t="str">
            <v>CMR</v>
          </cell>
          <cell r="H42">
            <v>120</v>
          </cell>
          <cell r="I42" t="str">
            <v>ISO 3166-2:CM</v>
          </cell>
          <cell r="J42" t="str">
            <v>Africa</v>
          </cell>
          <cell r="K42" t="str">
            <v>Sub-Saharan Africa</v>
          </cell>
        </row>
        <row r="43">
          <cell r="G43" t="str">
            <v>CAN</v>
          </cell>
          <cell r="H43">
            <v>124</v>
          </cell>
          <cell r="I43" t="str">
            <v>ISO 3166-2:CA</v>
          </cell>
          <cell r="J43" t="str">
            <v>Americas</v>
          </cell>
          <cell r="K43" t="str">
            <v>Northern America</v>
          </cell>
        </row>
        <row r="44">
          <cell r="G44" t="str">
            <v>CYM</v>
          </cell>
          <cell r="H44">
            <v>136</v>
          </cell>
          <cell r="I44" t="str">
            <v>ISO 3166-2:KY</v>
          </cell>
          <cell r="J44" t="str">
            <v>Americas</v>
          </cell>
          <cell r="K44" t="str">
            <v>Latin America and the Caribbean</v>
          </cell>
        </row>
        <row r="45">
          <cell r="G45" t="str">
            <v>CAF</v>
          </cell>
          <cell r="H45">
            <v>140</v>
          </cell>
          <cell r="I45" t="str">
            <v>ISO 3166-2:CF</v>
          </cell>
          <cell r="J45" t="str">
            <v>Africa</v>
          </cell>
          <cell r="K45" t="str">
            <v>Sub-Saharan Africa</v>
          </cell>
        </row>
        <row r="46">
          <cell r="G46" t="str">
            <v>TCD</v>
          </cell>
          <cell r="H46">
            <v>148</v>
          </cell>
          <cell r="I46" t="str">
            <v>ISO 3166-2:TD</v>
          </cell>
          <cell r="J46" t="str">
            <v>Africa</v>
          </cell>
          <cell r="K46" t="str">
            <v>Sub-Saharan Africa</v>
          </cell>
        </row>
        <row r="47">
          <cell r="G47" t="str">
            <v>CHL</v>
          </cell>
          <cell r="H47">
            <v>152</v>
          </cell>
          <cell r="I47" t="str">
            <v>ISO 3166-2:CL</v>
          </cell>
          <cell r="J47" t="str">
            <v>Americas</v>
          </cell>
          <cell r="K47" t="str">
            <v>Latin America and the Caribbean</v>
          </cell>
        </row>
        <row r="48">
          <cell r="G48" t="str">
            <v>CHN</v>
          </cell>
          <cell r="H48">
            <v>156</v>
          </cell>
          <cell r="I48" t="str">
            <v>ISO 3166-2:CN</v>
          </cell>
          <cell r="J48" t="str">
            <v>Asia</v>
          </cell>
          <cell r="K48" t="str">
            <v>Eastern Asia</v>
          </cell>
        </row>
        <row r="49">
          <cell r="G49" t="str">
            <v>CXR</v>
          </cell>
          <cell r="H49">
            <v>162</v>
          </cell>
          <cell r="I49" t="str">
            <v>ISO 3166-2:CX</v>
          </cell>
          <cell r="J49" t="str">
            <v>Oceania</v>
          </cell>
          <cell r="K49" t="str">
            <v>Australia and New Zealand</v>
          </cell>
        </row>
        <row r="50">
          <cell r="G50" t="str">
            <v>CCK</v>
          </cell>
          <cell r="H50">
            <v>166</v>
          </cell>
          <cell r="I50" t="str">
            <v>ISO 3166-2:CC</v>
          </cell>
          <cell r="J50" t="str">
            <v>Oceania</v>
          </cell>
          <cell r="K50" t="str">
            <v>Australia and New Zealand</v>
          </cell>
        </row>
        <row r="51">
          <cell r="G51" t="str">
            <v>COL</v>
          </cell>
          <cell r="H51">
            <v>170</v>
          </cell>
          <cell r="I51" t="str">
            <v>ISO 3166-2:CO</v>
          </cell>
          <cell r="J51" t="str">
            <v>Americas</v>
          </cell>
          <cell r="K51" t="str">
            <v>Latin America and the Caribbean</v>
          </cell>
        </row>
        <row r="52">
          <cell r="G52" t="str">
            <v>COM</v>
          </cell>
          <cell r="H52">
            <v>174</v>
          </cell>
          <cell r="I52" t="str">
            <v>ISO 3166-2:KM</v>
          </cell>
          <cell r="J52" t="str">
            <v>Africa</v>
          </cell>
          <cell r="K52" t="str">
            <v>Sub-Saharan Africa</v>
          </cell>
        </row>
        <row r="53">
          <cell r="G53" t="str">
            <v>COG</v>
          </cell>
          <cell r="H53">
            <v>178</v>
          </cell>
          <cell r="I53" t="str">
            <v>ISO 3166-2:CG</v>
          </cell>
          <cell r="J53" t="str">
            <v>Africa</v>
          </cell>
          <cell r="K53" t="str">
            <v>Sub-Saharan Africa</v>
          </cell>
        </row>
        <row r="54">
          <cell r="G54" t="str">
            <v>COD</v>
          </cell>
          <cell r="H54">
            <v>180</v>
          </cell>
          <cell r="I54" t="str">
            <v>ISO 3166-2:CD</v>
          </cell>
          <cell r="J54" t="str">
            <v>Africa</v>
          </cell>
          <cell r="K54" t="str">
            <v>Sub-Saharan Africa</v>
          </cell>
        </row>
        <row r="55">
          <cell r="G55" t="str">
            <v>COK</v>
          </cell>
          <cell r="H55">
            <v>184</v>
          </cell>
          <cell r="I55" t="str">
            <v>ISO 3166-2:CK</v>
          </cell>
          <cell r="J55" t="str">
            <v>Oceania</v>
          </cell>
          <cell r="K55" t="str">
            <v>Polynesia</v>
          </cell>
        </row>
        <row r="56">
          <cell r="G56" t="str">
            <v>CRI</v>
          </cell>
          <cell r="H56">
            <v>188</v>
          </cell>
          <cell r="I56" t="str">
            <v>ISO 3166-2:CR</v>
          </cell>
          <cell r="J56" t="str">
            <v>Americas</v>
          </cell>
          <cell r="K56" t="str">
            <v>Latin America and the Caribbean</v>
          </cell>
        </row>
        <row r="57">
          <cell r="G57" t="str">
            <v>CIV</v>
          </cell>
          <cell r="H57">
            <v>384</v>
          </cell>
          <cell r="I57" t="str">
            <v>ISO 3166-2:CI</v>
          </cell>
          <cell r="J57" t="str">
            <v>Africa</v>
          </cell>
          <cell r="K57" t="str">
            <v>Sub-Saharan Africa</v>
          </cell>
        </row>
        <row r="58">
          <cell r="G58" t="str">
            <v>HRV</v>
          </cell>
          <cell r="H58">
            <v>191</v>
          </cell>
          <cell r="I58" t="str">
            <v>ISO 3166-2:HR</v>
          </cell>
          <cell r="J58" t="str">
            <v>Europe</v>
          </cell>
          <cell r="K58" t="str">
            <v>Southern Europe</v>
          </cell>
        </row>
        <row r="59">
          <cell r="G59" t="str">
            <v>CUB</v>
          </cell>
          <cell r="H59">
            <v>192</v>
          </cell>
          <cell r="I59" t="str">
            <v>ISO 3166-2:CU</v>
          </cell>
          <cell r="J59" t="str">
            <v>Americas</v>
          </cell>
          <cell r="K59" t="str">
            <v>Latin America and the Caribbean</v>
          </cell>
        </row>
        <row r="60">
          <cell r="G60" t="str">
            <v>CUW</v>
          </cell>
          <cell r="H60">
            <v>531</v>
          </cell>
          <cell r="I60" t="str">
            <v>ISO 3166-2:CW</v>
          </cell>
          <cell r="J60" t="str">
            <v>Americas</v>
          </cell>
          <cell r="K60" t="str">
            <v>Latin America and the Caribbean</v>
          </cell>
        </row>
        <row r="61">
          <cell r="G61" t="str">
            <v>CYP</v>
          </cell>
          <cell r="H61">
            <v>196</v>
          </cell>
          <cell r="I61" t="str">
            <v>ISO 3166-2:CY</v>
          </cell>
          <cell r="J61" t="str">
            <v>Asia</v>
          </cell>
          <cell r="K61" t="str">
            <v>Western Asia</v>
          </cell>
        </row>
        <row r="62">
          <cell r="G62" t="str">
            <v>CZE</v>
          </cell>
          <cell r="H62">
            <v>203</v>
          </cell>
          <cell r="I62" t="str">
            <v>ISO 3166-2:CZ</v>
          </cell>
          <cell r="J62" t="str">
            <v>Europe</v>
          </cell>
          <cell r="K62" t="str">
            <v>Eastern Europe</v>
          </cell>
        </row>
        <row r="63">
          <cell r="G63" t="str">
            <v>DNK</v>
          </cell>
          <cell r="H63">
            <v>208</v>
          </cell>
          <cell r="I63" t="str">
            <v>ISO 3166-2:DK</v>
          </cell>
          <cell r="J63" t="str">
            <v>Europe</v>
          </cell>
          <cell r="K63" t="str">
            <v>Northern Europe</v>
          </cell>
        </row>
        <row r="64">
          <cell r="G64" t="str">
            <v>DJI</v>
          </cell>
          <cell r="H64">
            <v>262</v>
          </cell>
          <cell r="I64" t="str">
            <v>ISO 3166-2:DJ</v>
          </cell>
          <cell r="J64" t="str">
            <v>Africa</v>
          </cell>
          <cell r="K64" t="str">
            <v>Sub-Saharan Africa</v>
          </cell>
        </row>
        <row r="65">
          <cell r="G65" t="str">
            <v>DMA</v>
          </cell>
          <cell r="H65">
            <v>212</v>
          </cell>
          <cell r="I65" t="str">
            <v>ISO 3166-2:DM</v>
          </cell>
          <cell r="J65" t="str">
            <v>Americas</v>
          </cell>
          <cell r="K65" t="str">
            <v>Latin America and the Caribbean</v>
          </cell>
        </row>
        <row r="66">
          <cell r="G66" t="str">
            <v>DOM</v>
          </cell>
          <cell r="H66">
            <v>214</v>
          </cell>
          <cell r="I66" t="str">
            <v>ISO 3166-2:DO</v>
          </cell>
          <cell r="J66" t="str">
            <v>Americas</v>
          </cell>
          <cell r="K66" t="str">
            <v>Latin America and the Caribbean</v>
          </cell>
        </row>
        <row r="67">
          <cell r="G67" t="str">
            <v>ECU</v>
          </cell>
          <cell r="H67">
            <v>218</v>
          </cell>
          <cell r="I67" t="str">
            <v>ISO 3166-2:EC</v>
          </cell>
          <cell r="J67" t="str">
            <v>Americas</v>
          </cell>
          <cell r="K67" t="str">
            <v>Latin America and the Caribbean</v>
          </cell>
        </row>
        <row r="68">
          <cell r="G68" t="str">
            <v>EGY</v>
          </cell>
          <cell r="H68">
            <v>818</v>
          </cell>
          <cell r="I68" t="str">
            <v>ISO 3166-2:EG</v>
          </cell>
          <cell r="J68" t="str">
            <v>Africa</v>
          </cell>
          <cell r="K68" t="str">
            <v>Northern Africa</v>
          </cell>
        </row>
        <row r="69">
          <cell r="G69" t="str">
            <v>SLV</v>
          </cell>
          <cell r="H69">
            <v>222</v>
          </cell>
          <cell r="I69" t="str">
            <v>ISO 3166-2:SV</v>
          </cell>
          <cell r="J69" t="str">
            <v>Americas</v>
          </cell>
          <cell r="K69" t="str">
            <v>Latin America and the Caribbean</v>
          </cell>
        </row>
        <row r="70">
          <cell r="G70" t="str">
            <v>GNQ</v>
          </cell>
          <cell r="H70">
            <v>226</v>
          </cell>
          <cell r="I70" t="str">
            <v>ISO 3166-2:GQ</v>
          </cell>
          <cell r="J70" t="str">
            <v>Africa</v>
          </cell>
          <cell r="K70" t="str">
            <v>Sub-Saharan Africa</v>
          </cell>
        </row>
        <row r="71">
          <cell r="G71" t="str">
            <v>ERI</v>
          </cell>
          <cell r="H71">
            <v>232</v>
          </cell>
          <cell r="I71" t="str">
            <v>ISO 3166-2:ER</v>
          </cell>
          <cell r="J71" t="str">
            <v>Africa</v>
          </cell>
          <cell r="K71" t="str">
            <v>Sub-Saharan Africa</v>
          </cell>
        </row>
        <row r="72">
          <cell r="G72" t="str">
            <v>EST</v>
          </cell>
          <cell r="H72">
            <v>233</v>
          </cell>
          <cell r="I72" t="str">
            <v>ISO 3166-2:EE</v>
          </cell>
          <cell r="J72" t="str">
            <v>Europe</v>
          </cell>
          <cell r="K72" t="str">
            <v>Northern Europe</v>
          </cell>
        </row>
        <row r="73">
          <cell r="G73" t="str">
            <v>SWZ</v>
          </cell>
          <cell r="H73">
            <v>748</v>
          </cell>
          <cell r="I73" t="str">
            <v>ISO 3166-2:SZ</v>
          </cell>
          <cell r="J73" t="str">
            <v>Africa</v>
          </cell>
          <cell r="K73" t="str">
            <v>Sub-Saharan Africa</v>
          </cell>
        </row>
        <row r="74">
          <cell r="G74" t="str">
            <v>ETH</v>
          </cell>
          <cell r="H74">
            <v>231</v>
          </cell>
          <cell r="I74" t="str">
            <v>ISO 3166-2:ET</v>
          </cell>
          <cell r="J74" t="str">
            <v>Africa</v>
          </cell>
          <cell r="K74" t="str">
            <v>Sub-Saharan Africa</v>
          </cell>
        </row>
        <row r="75">
          <cell r="G75" t="str">
            <v>FLK</v>
          </cell>
          <cell r="H75">
            <v>238</v>
          </cell>
          <cell r="I75" t="str">
            <v>ISO 3166-2:FK</v>
          </cell>
          <cell r="J75" t="str">
            <v>Americas</v>
          </cell>
          <cell r="K75" t="str">
            <v>Latin America and the Caribbean</v>
          </cell>
        </row>
        <row r="76">
          <cell r="G76" t="str">
            <v>FRO</v>
          </cell>
          <cell r="H76">
            <v>234</v>
          </cell>
          <cell r="I76" t="str">
            <v>ISO 3166-2:FO</v>
          </cell>
          <cell r="J76" t="str">
            <v>Europe</v>
          </cell>
          <cell r="K76" t="str">
            <v>Northern Europe</v>
          </cell>
        </row>
        <row r="77">
          <cell r="G77" t="str">
            <v>FJI</v>
          </cell>
          <cell r="H77">
            <v>242</v>
          </cell>
          <cell r="I77" t="str">
            <v>ISO 3166-2:FJ</v>
          </cell>
          <cell r="J77" t="str">
            <v>Oceania</v>
          </cell>
          <cell r="K77" t="str">
            <v>Melanesia</v>
          </cell>
        </row>
        <row r="78">
          <cell r="G78" t="str">
            <v>FIN</v>
          </cell>
          <cell r="H78">
            <v>246</v>
          </cell>
          <cell r="I78" t="str">
            <v>ISO 3166-2:FI</v>
          </cell>
          <cell r="J78" t="str">
            <v>Europe</v>
          </cell>
          <cell r="K78" t="str">
            <v>Northern Europe</v>
          </cell>
        </row>
        <row r="79">
          <cell r="G79" t="str">
            <v>FRA</v>
          </cell>
          <cell r="H79">
            <v>250</v>
          </cell>
          <cell r="I79" t="str">
            <v>ISO 3166-2:FR</v>
          </cell>
          <cell r="J79" t="str">
            <v>Europe</v>
          </cell>
          <cell r="K79" t="str">
            <v>Western Europe</v>
          </cell>
        </row>
        <row r="80">
          <cell r="G80" t="str">
            <v>GUF</v>
          </cell>
          <cell r="H80">
            <v>254</v>
          </cell>
          <cell r="I80" t="str">
            <v>ISO 3166-2:GF</v>
          </cell>
          <cell r="J80" t="str">
            <v>Americas</v>
          </cell>
          <cell r="K80" t="str">
            <v>Latin America and the Caribbean</v>
          </cell>
        </row>
        <row r="81">
          <cell r="G81" t="str">
            <v>PYF</v>
          </cell>
          <cell r="H81">
            <v>258</v>
          </cell>
          <cell r="I81" t="str">
            <v>ISO 3166-2:PF</v>
          </cell>
          <cell r="J81" t="str">
            <v>Oceania</v>
          </cell>
          <cell r="K81" t="str">
            <v>Polynesia</v>
          </cell>
        </row>
        <row r="82">
          <cell r="G82" t="str">
            <v>ATF</v>
          </cell>
          <cell r="H82">
            <v>260</v>
          </cell>
          <cell r="I82" t="str">
            <v>ISO 3166-2:TF</v>
          </cell>
          <cell r="J82" t="str">
            <v>Africa</v>
          </cell>
          <cell r="K82" t="str">
            <v>Sub-Saharan Africa</v>
          </cell>
        </row>
        <row r="83">
          <cell r="G83" t="str">
            <v>GAB</v>
          </cell>
          <cell r="H83">
            <v>266</v>
          </cell>
          <cell r="I83" t="str">
            <v>ISO 3166-2:GA</v>
          </cell>
          <cell r="J83" t="str">
            <v>Africa</v>
          </cell>
          <cell r="K83" t="str">
            <v>Sub-Saharan Africa</v>
          </cell>
        </row>
        <row r="84">
          <cell r="G84" t="str">
            <v>GMB</v>
          </cell>
          <cell r="H84">
            <v>270</v>
          </cell>
          <cell r="I84" t="str">
            <v>ISO 3166-2:GM</v>
          </cell>
          <cell r="J84" t="str">
            <v>Africa</v>
          </cell>
          <cell r="K84" t="str">
            <v>Sub-Saharan Africa</v>
          </cell>
        </row>
        <row r="85">
          <cell r="G85" t="str">
            <v>GEO</v>
          </cell>
          <cell r="H85">
            <v>268</v>
          </cell>
          <cell r="I85" t="str">
            <v>ISO 3166-2:GE</v>
          </cell>
          <cell r="J85" t="str">
            <v>Asia</v>
          </cell>
          <cell r="K85" t="str">
            <v>Western Asia</v>
          </cell>
        </row>
        <row r="86">
          <cell r="G86" t="str">
            <v>DEU</v>
          </cell>
          <cell r="H86">
            <v>276</v>
          </cell>
          <cell r="I86" t="str">
            <v>ISO 3166-2:DE</v>
          </cell>
          <cell r="J86" t="str">
            <v>Europe</v>
          </cell>
          <cell r="K86" t="str">
            <v>Western Europe</v>
          </cell>
        </row>
        <row r="87">
          <cell r="G87" t="str">
            <v>GHA</v>
          </cell>
          <cell r="H87">
            <v>288</v>
          </cell>
          <cell r="I87" t="str">
            <v>ISO 3166-2:GH</v>
          </cell>
          <cell r="J87" t="str">
            <v>Africa</v>
          </cell>
          <cell r="K87" t="str">
            <v>Sub-Saharan Africa</v>
          </cell>
        </row>
        <row r="88">
          <cell r="G88" t="str">
            <v>GIB</v>
          </cell>
          <cell r="H88">
            <v>292</v>
          </cell>
          <cell r="I88" t="str">
            <v>ISO 3166-2:GI</v>
          </cell>
          <cell r="J88" t="str">
            <v>Europe</v>
          </cell>
          <cell r="K88" t="str">
            <v>Southern Europe</v>
          </cell>
        </row>
        <row r="89">
          <cell r="G89" t="str">
            <v>GRC</v>
          </cell>
          <cell r="H89">
            <v>300</v>
          </cell>
          <cell r="I89" t="str">
            <v>ISO 3166-2:GR</v>
          </cell>
          <cell r="J89" t="str">
            <v>Europe</v>
          </cell>
          <cell r="K89" t="str">
            <v>Southern Europe</v>
          </cell>
        </row>
        <row r="90">
          <cell r="G90" t="str">
            <v>GRL</v>
          </cell>
          <cell r="H90">
            <v>304</v>
          </cell>
          <cell r="I90" t="str">
            <v>ISO 3166-2:GL</v>
          </cell>
          <cell r="J90" t="str">
            <v>Americas</v>
          </cell>
          <cell r="K90" t="str">
            <v>Northern America</v>
          </cell>
        </row>
        <row r="91">
          <cell r="G91" t="str">
            <v>GRD</v>
          </cell>
          <cell r="H91">
            <v>308</v>
          </cell>
          <cell r="I91" t="str">
            <v>ISO 3166-2:GD</v>
          </cell>
          <cell r="J91" t="str">
            <v>Americas</v>
          </cell>
          <cell r="K91" t="str">
            <v>Latin America and the Caribbean</v>
          </cell>
        </row>
        <row r="92">
          <cell r="G92" t="str">
            <v>GLP</v>
          </cell>
          <cell r="H92">
            <v>312</v>
          </cell>
          <cell r="I92" t="str">
            <v>ISO 3166-2:GP</v>
          </cell>
          <cell r="J92" t="str">
            <v>Americas</v>
          </cell>
          <cell r="K92" t="str">
            <v>Latin America and the Caribbean</v>
          </cell>
        </row>
        <row r="93">
          <cell r="G93" t="str">
            <v>GUM</v>
          </cell>
          <cell r="H93">
            <v>316</v>
          </cell>
          <cell r="I93" t="str">
            <v>ISO 3166-2:GU</v>
          </cell>
          <cell r="J93" t="str">
            <v>Oceania</v>
          </cell>
          <cell r="K93" t="str">
            <v>Micronesia</v>
          </cell>
        </row>
        <row r="94">
          <cell r="G94" t="str">
            <v>GTM</v>
          </cell>
          <cell r="H94">
            <v>320</v>
          </cell>
          <cell r="I94" t="str">
            <v>ISO 3166-2:GT</v>
          </cell>
          <cell r="J94" t="str">
            <v>Americas</v>
          </cell>
          <cell r="K94" t="str">
            <v>Latin America and the Caribbean</v>
          </cell>
        </row>
        <row r="95">
          <cell r="G95" t="str">
            <v>GGY</v>
          </cell>
          <cell r="H95">
            <v>831</v>
          </cell>
          <cell r="I95" t="str">
            <v>ISO 3166-2:GG</v>
          </cell>
          <cell r="J95" t="str">
            <v>Europe</v>
          </cell>
          <cell r="K95" t="str">
            <v>Northern Europe</v>
          </cell>
        </row>
        <row r="96">
          <cell r="G96" t="str">
            <v>GIN</v>
          </cell>
          <cell r="H96">
            <v>324</v>
          </cell>
          <cell r="I96" t="str">
            <v>ISO 3166-2:GN</v>
          </cell>
          <cell r="J96" t="str">
            <v>Africa</v>
          </cell>
          <cell r="K96" t="str">
            <v>Sub-Saharan Africa</v>
          </cell>
        </row>
        <row r="97">
          <cell r="G97" t="str">
            <v>GNB</v>
          </cell>
          <cell r="H97">
            <v>624</v>
          </cell>
          <cell r="I97" t="str">
            <v>ISO 3166-2:GW</v>
          </cell>
          <cell r="J97" t="str">
            <v>Africa</v>
          </cell>
          <cell r="K97" t="str">
            <v>Sub-Saharan Africa</v>
          </cell>
        </row>
        <row r="98">
          <cell r="G98" t="str">
            <v>GUY</v>
          </cell>
          <cell r="H98">
            <v>328</v>
          </cell>
          <cell r="I98" t="str">
            <v>ISO 3166-2:GY</v>
          </cell>
          <cell r="J98" t="str">
            <v>Americas</v>
          </cell>
          <cell r="K98" t="str">
            <v>Latin America and the Caribbean</v>
          </cell>
        </row>
        <row r="99">
          <cell r="G99" t="str">
            <v>HTI</v>
          </cell>
          <cell r="H99">
            <v>332</v>
          </cell>
          <cell r="I99" t="str">
            <v>ISO 3166-2:HT</v>
          </cell>
          <cell r="J99" t="str">
            <v>Americas</v>
          </cell>
          <cell r="K99" t="str">
            <v>Latin America and the Caribbean</v>
          </cell>
        </row>
        <row r="100">
          <cell r="G100" t="str">
            <v>HMD</v>
          </cell>
          <cell r="H100">
            <v>334</v>
          </cell>
          <cell r="I100" t="str">
            <v>ISO 3166-2:HM</v>
          </cell>
          <cell r="J100" t="str">
            <v>Oceania</v>
          </cell>
          <cell r="K100" t="str">
            <v>Australia and New Zealand</v>
          </cell>
        </row>
        <row r="101">
          <cell r="G101" t="str">
            <v>VAT</v>
          </cell>
          <cell r="H101">
            <v>336</v>
          </cell>
          <cell r="I101" t="str">
            <v>ISO 3166-2:VA</v>
          </cell>
          <cell r="J101" t="str">
            <v>Europe</v>
          </cell>
          <cell r="K101" t="str">
            <v>Southern Europe</v>
          </cell>
        </row>
        <row r="102">
          <cell r="G102" t="str">
            <v>HND</v>
          </cell>
          <cell r="H102">
            <v>340</v>
          </cell>
          <cell r="I102" t="str">
            <v>ISO 3166-2:HN</v>
          </cell>
          <cell r="J102" t="str">
            <v>Americas</v>
          </cell>
          <cell r="K102" t="str">
            <v>Latin America and the Caribbean</v>
          </cell>
        </row>
        <row r="103">
          <cell r="G103" t="str">
            <v>HKG</v>
          </cell>
          <cell r="H103">
            <v>344</v>
          </cell>
          <cell r="I103" t="str">
            <v>ISO 3166-2:HK</v>
          </cell>
          <cell r="J103" t="str">
            <v>Asia</v>
          </cell>
          <cell r="K103" t="str">
            <v>Eastern Asia</v>
          </cell>
        </row>
        <row r="104">
          <cell r="G104" t="str">
            <v>HUN</v>
          </cell>
          <cell r="H104">
            <v>348</v>
          </cell>
          <cell r="I104" t="str">
            <v>ISO 3166-2:HU</v>
          </cell>
          <cell r="J104" t="str">
            <v>Europe</v>
          </cell>
          <cell r="K104" t="str">
            <v>Eastern Europe</v>
          </cell>
        </row>
        <row r="105">
          <cell r="G105" t="str">
            <v>ISL</v>
          </cell>
          <cell r="H105">
            <v>352</v>
          </cell>
          <cell r="I105" t="str">
            <v>ISO 3166-2:IS</v>
          </cell>
          <cell r="J105" t="str">
            <v>Europe</v>
          </cell>
          <cell r="K105" t="str">
            <v>Northern Europe</v>
          </cell>
        </row>
        <row r="106">
          <cell r="G106" t="str">
            <v>IND</v>
          </cell>
          <cell r="H106">
            <v>356</v>
          </cell>
          <cell r="I106" t="str">
            <v>ISO 3166-2:IN</v>
          </cell>
          <cell r="J106" t="str">
            <v>Asia</v>
          </cell>
          <cell r="K106" t="str">
            <v>Southern Asia</v>
          </cell>
        </row>
        <row r="107">
          <cell r="G107" t="str">
            <v>IDN</v>
          </cell>
          <cell r="H107">
            <v>360</v>
          </cell>
          <cell r="I107" t="str">
            <v>ISO 3166-2:ID</v>
          </cell>
          <cell r="J107" t="str">
            <v>Asia</v>
          </cell>
          <cell r="K107" t="str">
            <v>South-eastern Asia</v>
          </cell>
        </row>
        <row r="108">
          <cell r="G108" t="str">
            <v>IRN</v>
          </cell>
          <cell r="H108">
            <v>364</v>
          </cell>
          <cell r="I108" t="str">
            <v>ISO 3166-2:IR</v>
          </cell>
          <cell r="J108" t="str">
            <v>Asia</v>
          </cell>
          <cell r="K108" t="str">
            <v>Southern Asia</v>
          </cell>
        </row>
        <row r="109">
          <cell r="G109" t="str">
            <v>IRQ</v>
          </cell>
          <cell r="H109">
            <v>368</v>
          </cell>
          <cell r="I109" t="str">
            <v>ISO 3166-2:IQ</v>
          </cell>
          <cell r="J109" t="str">
            <v>Asia</v>
          </cell>
          <cell r="K109" t="str">
            <v>Western Asia</v>
          </cell>
        </row>
        <row r="110">
          <cell r="G110" t="str">
            <v>IRL</v>
          </cell>
          <cell r="H110">
            <v>372</v>
          </cell>
          <cell r="I110" t="str">
            <v>ISO 3166-2:IE</v>
          </cell>
          <cell r="J110" t="str">
            <v>Europe</v>
          </cell>
          <cell r="K110" t="str">
            <v>Northern Europe</v>
          </cell>
        </row>
        <row r="111">
          <cell r="G111" t="str">
            <v>IMN</v>
          </cell>
          <cell r="H111">
            <v>833</v>
          </cell>
          <cell r="I111" t="str">
            <v>ISO 3166-2:IM</v>
          </cell>
          <cell r="J111" t="str">
            <v>Europe</v>
          </cell>
          <cell r="K111" t="str">
            <v>Northern Europe</v>
          </cell>
        </row>
        <row r="112">
          <cell r="G112" t="str">
            <v>ISR</v>
          </cell>
          <cell r="H112">
            <v>376</v>
          </cell>
          <cell r="I112" t="str">
            <v>ISO 3166-2:IL</v>
          </cell>
          <cell r="J112" t="str">
            <v>Asia</v>
          </cell>
          <cell r="K112" t="str">
            <v>Western Asia</v>
          </cell>
        </row>
        <row r="113">
          <cell r="G113" t="str">
            <v>ITA</v>
          </cell>
          <cell r="H113">
            <v>380</v>
          </cell>
          <cell r="I113" t="str">
            <v>ISO 3166-2:IT</v>
          </cell>
          <cell r="J113" t="str">
            <v>Europe</v>
          </cell>
          <cell r="K113" t="str">
            <v>Southern Europe</v>
          </cell>
        </row>
        <row r="114">
          <cell r="G114" t="str">
            <v>JAM</v>
          </cell>
          <cell r="H114">
            <v>388</v>
          </cell>
          <cell r="I114" t="str">
            <v>ISO 3166-2:JM</v>
          </cell>
          <cell r="J114" t="str">
            <v>Americas</v>
          </cell>
          <cell r="K114" t="str">
            <v>Latin America and the Caribbean</v>
          </cell>
        </row>
        <row r="115">
          <cell r="G115" t="str">
            <v>JPN</v>
          </cell>
          <cell r="H115">
            <v>392</v>
          </cell>
          <cell r="I115" t="str">
            <v>ISO 3166-2:JP</v>
          </cell>
          <cell r="J115" t="str">
            <v>Asia</v>
          </cell>
          <cell r="K115" t="str">
            <v>Eastern Asia</v>
          </cell>
        </row>
        <row r="116">
          <cell r="G116" t="str">
            <v>JEY</v>
          </cell>
          <cell r="H116">
            <v>832</v>
          </cell>
          <cell r="I116" t="str">
            <v>ISO 3166-2:JE</v>
          </cell>
          <cell r="J116" t="str">
            <v>Europe</v>
          </cell>
          <cell r="K116" t="str">
            <v>Northern Europe</v>
          </cell>
        </row>
        <row r="117">
          <cell r="G117" t="str">
            <v>JOR</v>
          </cell>
          <cell r="H117">
            <v>400</v>
          </cell>
          <cell r="I117" t="str">
            <v>ISO 3166-2:JO</v>
          </cell>
          <cell r="J117" t="str">
            <v>Asia</v>
          </cell>
          <cell r="K117" t="str">
            <v>Western Asia</v>
          </cell>
        </row>
        <row r="118">
          <cell r="G118" t="str">
            <v>KAZ</v>
          </cell>
          <cell r="H118">
            <v>398</v>
          </cell>
          <cell r="I118" t="str">
            <v>ISO 3166-2:KZ</v>
          </cell>
          <cell r="J118" t="str">
            <v>Asia</v>
          </cell>
          <cell r="K118" t="str">
            <v>Central Asia</v>
          </cell>
        </row>
        <row r="119">
          <cell r="G119" t="str">
            <v>KEN</v>
          </cell>
          <cell r="H119">
            <v>404</v>
          </cell>
          <cell r="I119" t="str">
            <v>ISO 3166-2:KE</v>
          </cell>
          <cell r="J119" t="str">
            <v>Africa</v>
          </cell>
          <cell r="K119" t="str">
            <v>Sub-Saharan Africa</v>
          </cell>
        </row>
        <row r="120">
          <cell r="G120" t="str">
            <v>KIR</v>
          </cell>
          <cell r="H120">
            <v>296</v>
          </cell>
          <cell r="I120" t="str">
            <v>ISO 3166-2:KI</v>
          </cell>
          <cell r="J120" t="str">
            <v>Oceania</v>
          </cell>
          <cell r="K120" t="str">
            <v>Micronesia</v>
          </cell>
        </row>
        <row r="121">
          <cell r="G121" t="str">
            <v>PRK</v>
          </cell>
          <cell r="H121">
            <v>408</v>
          </cell>
          <cell r="I121" t="str">
            <v>ISO 3166-2:KP</v>
          </cell>
          <cell r="J121" t="str">
            <v>Asia</v>
          </cell>
          <cell r="K121" t="str">
            <v>Eastern Asia</v>
          </cell>
        </row>
        <row r="122">
          <cell r="G122" t="str">
            <v>KOR</v>
          </cell>
          <cell r="H122">
            <v>410</v>
          </cell>
          <cell r="I122" t="str">
            <v>ISO 3166-2:KR</v>
          </cell>
          <cell r="J122" t="str">
            <v>Asia</v>
          </cell>
          <cell r="K122" t="str">
            <v>Eastern Asia</v>
          </cell>
        </row>
        <row r="123">
          <cell r="G123" t="str">
            <v>KWT</v>
          </cell>
          <cell r="H123">
            <v>414</v>
          </cell>
          <cell r="I123" t="str">
            <v>ISO 3166-2:KW</v>
          </cell>
          <cell r="J123" t="str">
            <v>Asia</v>
          </cell>
          <cell r="K123" t="str">
            <v>Western Asia</v>
          </cell>
        </row>
        <row r="124">
          <cell r="G124" t="str">
            <v>KGZ</v>
          </cell>
          <cell r="H124">
            <v>417</v>
          </cell>
          <cell r="I124" t="str">
            <v>ISO 3166-2:KG</v>
          </cell>
          <cell r="J124" t="str">
            <v>Asia</v>
          </cell>
          <cell r="K124" t="str">
            <v>Central Asia</v>
          </cell>
        </row>
        <row r="125">
          <cell r="G125" t="str">
            <v>LAO</v>
          </cell>
          <cell r="H125">
            <v>418</v>
          </cell>
          <cell r="I125" t="str">
            <v>ISO 3166-2:LA</v>
          </cell>
          <cell r="J125" t="str">
            <v>Asia</v>
          </cell>
          <cell r="K125" t="str">
            <v>South-eastern Asia</v>
          </cell>
        </row>
        <row r="126">
          <cell r="G126" t="str">
            <v>LVA</v>
          </cell>
          <cell r="H126">
            <v>428</v>
          </cell>
          <cell r="I126" t="str">
            <v>ISO 3166-2:LV</v>
          </cell>
          <cell r="J126" t="str">
            <v>Europe</v>
          </cell>
          <cell r="K126" t="str">
            <v>Northern Europe</v>
          </cell>
        </row>
        <row r="127">
          <cell r="G127" t="str">
            <v>LBN</v>
          </cell>
          <cell r="H127">
            <v>422</v>
          </cell>
          <cell r="I127" t="str">
            <v>ISO 3166-2:LB</v>
          </cell>
          <cell r="J127" t="str">
            <v>Asia</v>
          </cell>
          <cell r="K127" t="str">
            <v>Western Asia</v>
          </cell>
        </row>
        <row r="128">
          <cell r="G128" t="str">
            <v>LSO</v>
          </cell>
          <cell r="H128">
            <v>426</v>
          </cell>
          <cell r="I128" t="str">
            <v>ISO 3166-2:LS</v>
          </cell>
          <cell r="J128" t="str">
            <v>Africa</v>
          </cell>
          <cell r="K128" t="str">
            <v>Sub-Saharan Africa</v>
          </cell>
        </row>
        <row r="129">
          <cell r="G129" t="str">
            <v>LBR</v>
          </cell>
          <cell r="H129">
            <v>430</v>
          </cell>
          <cell r="I129" t="str">
            <v>ISO 3166-2:LR</v>
          </cell>
          <cell r="J129" t="str">
            <v>Africa</v>
          </cell>
          <cell r="K129" t="str">
            <v>Sub-Saharan Africa</v>
          </cell>
        </row>
        <row r="130">
          <cell r="G130" t="str">
            <v>LBY</v>
          </cell>
          <cell r="H130">
            <v>434</v>
          </cell>
          <cell r="I130" t="str">
            <v>ISO 3166-2:LY</v>
          </cell>
          <cell r="J130" t="str">
            <v>Africa</v>
          </cell>
          <cell r="K130" t="str">
            <v>Northern Africa</v>
          </cell>
        </row>
        <row r="131">
          <cell r="G131" t="str">
            <v>LIE</v>
          </cell>
          <cell r="H131">
            <v>438</v>
          </cell>
          <cell r="I131" t="str">
            <v>ISO 3166-2:LI</v>
          </cell>
          <cell r="J131" t="str">
            <v>Europe</v>
          </cell>
          <cell r="K131" t="str">
            <v>Western Europe</v>
          </cell>
        </row>
        <row r="132">
          <cell r="G132" t="str">
            <v>LTU</v>
          </cell>
          <cell r="H132">
            <v>440</v>
          </cell>
          <cell r="I132" t="str">
            <v>ISO 3166-2:LT</v>
          </cell>
          <cell r="J132" t="str">
            <v>Europe</v>
          </cell>
          <cell r="K132" t="str">
            <v>Northern Europe</v>
          </cell>
        </row>
        <row r="133">
          <cell r="G133" t="str">
            <v>LUX</v>
          </cell>
          <cell r="H133">
            <v>442</v>
          </cell>
          <cell r="I133" t="str">
            <v>ISO 3166-2:LU</v>
          </cell>
          <cell r="J133" t="str">
            <v>Europe</v>
          </cell>
          <cell r="K133" t="str">
            <v>Western Europe</v>
          </cell>
        </row>
        <row r="134">
          <cell r="G134" t="str">
            <v>MAC</v>
          </cell>
          <cell r="H134">
            <v>446</v>
          </cell>
          <cell r="I134" t="str">
            <v>ISO 3166-2:MO</v>
          </cell>
          <cell r="J134" t="str">
            <v>Asia</v>
          </cell>
          <cell r="K134" t="str">
            <v>Eastern Asia</v>
          </cell>
        </row>
        <row r="135">
          <cell r="G135" t="str">
            <v>MDG</v>
          </cell>
          <cell r="H135">
            <v>450</v>
          </cell>
          <cell r="I135" t="str">
            <v>ISO 3166-2:MG</v>
          </cell>
          <cell r="J135" t="str">
            <v>Africa</v>
          </cell>
          <cell r="K135" t="str">
            <v>Sub-Saharan Africa</v>
          </cell>
        </row>
        <row r="136">
          <cell r="G136" t="str">
            <v>MWI</v>
          </cell>
          <cell r="H136">
            <v>454</v>
          </cell>
          <cell r="I136" t="str">
            <v>ISO 3166-2:MW</v>
          </cell>
          <cell r="J136" t="str">
            <v>Africa</v>
          </cell>
          <cell r="K136" t="str">
            <v>Sub-Saharan Africa</v>
          </cell>
        </row>
        <row r="137">
          <cell r="G137" t="str">
            <v>MYS</v>
          </cell>
          <cell r="H137">
            <v>458</v>
          </cell>
          <cell r="I137" t="str">
            <v>ISO 3166-2:MY</v>
          </cell>
          <cell r="J137" t="str">
            <v>Asia</v>
          </cell>
          <cell r="K137" t="str">
            <v>South-eastern Asia</v>
          </cell>
        </row>
        <row r="138">
          <cell r="G138" t="str">
            <v>MDV</v>
          </cell>
          <cell r="H138">
            <v>462</v>
          </cell>
          <cell r="I138" t="str">
            <v>ISO 3166-2:MV</v>
          </cell>
          <cell r="J138" t="str">
            <v>Asia</v>
          </cell>
          <cell r="K138" t="str">
            <v>Southern Asia</v>
          </cell>
        </row>
        <row r="139">
          <cell r="G139" t="str">
            <v>MLI</v>
          </cell>
          <cell r="H139">
            <v>466</v>
          </cell>
          <cell r="I139" t="str">
            <v>ISO 3166-2:ML</v>
          </cell>
          <cell r="J139" t="str">
            <v>Africa</v>
          </cell>
          <cell r="K139" t="str">
            <v>Sub-Saharan Africa</v>
          </cell>
        </row>
        <row r="140">
          <cell r="G140" t="str">
            <v>MLT</v>
          </cell>
          <cell r="H140">
            <v>470</v>
          </cell>
          <cell r="I140" t="str">
            <v>ISO 3166-2:MT</v>
          </cell>
          <cell r="J140" t="str">
            <v>Europe</v>
          </cell>
          <cell r="K140" t="str">
            <v>Southern Europe</v>
          </cell>
        </row>
        <row r="141">
          <cell r="G141" t="str">
            <v>MHL</v>
          </cell>
          <cell r="H141">
            <v>584</v>
          </cell>
          <cell r="I141" t="str">
            <v>ISO 3166-2:MH</v>
          </cell>
          <cell r="J141" t="str">
            <v>Oceania</v>
          </cell>
          <cell r="K141" t="str">
            <v>Micronesia</v>
          </cell>
        </row>
        <row r="142">
          <cell r="G142" t="str">
            <v>MTQ</v>
          </cell>
          <cell r="H142">
            <v>474</v>
          </cell>
          <cell r="I142" t="str">
            <v>ISO 3166-2:MQ</v>
          </cell>
          <cell r="J142" t="str">
            <v>Americas</v>
          </cell>
          <cell r="K142" t="str">
            <v>Latin America and the Caribbean</v>
          </cell>
        </row>
        <row r="143">
          <cell r="G143" t="str">
            <v>MRT</v>
          </cell>
          <cell r="H143">
            <v>478</v>
          </cell>
          <cell r="I143" t="str">
            <v>ISO 3166-2:MR</v>
          </cell>
          <cell r="J143" t="str">
            <v>Africa</v>
          </cell>
          <cell r="K143" t="str">
            <v>Sub-Saharan Africa</v>
          </cell>
        </row>
        <row r="144">
          <cell r="G144" t="str">
            <v>MUS</v>
          </cell>
          <cell r="H144">
            <v>480</v>
          </cell>
          <cell r="I144" t="str">
            <v>ISO 3166-2:MU</v>
          </cell>
          <cell r="J144" t="str">
            <v>Africa</v>
          </cell>
          <cell r="K144" t="str">
            <v>Sub-Saharan Africa</v>
          </cell>
        </row>
        <row r="145">
          <cell r="G145" t="str">
            <v>MYT</v>
          </cell>
          <cell r="H145">
            <v>175</v>
          </cell>
          <cell r="I145" t="str">
            <v>ISO 3166-2:YT</v>
          </cell>
          <cell r="J145" t="str">
            <v>Africa</v>
          </cell>
          <cell r="K145" t="str">
            <v>Sub-Saharan Africa</v>
          </cell>
        </row>
        <row r="146">
          <cell r="G146" t="str">
            <v>MEX</v>
          </cell>
          <cell r="H146">
            <v>484</v>
          </cell>
          <cell r="I146" t="str">
            <v>ISO 3166-2:MX</v>
          </cell>
          <cell r="J146" t="str">
            <v>Americas</v>
          </cell>
          <cell r="K146" t="str">
            <v>Latin America and the Caribbean</v>
          </cell>
        </row>
        <row r="147">
          <cell r="G147" t="str">
            <v>FSM</v>
          </cell>
          <cell r="H147">
            <v>583</v>
          </cell>
          <cell r="I147" t="str">
            <v>ISO 3166-2:FM</v>
          </cell>
          <cell r="J147" t="str">
            <v>Oceania</v>
          </cell>
          <cell r="K147" t="str">
            <v>Micronesia</v>
          </cell>
        </row>
        <row r="148">
          <cell r="G148" t="str">
            <v>MDA</v>
          </cell>
          <cell r="H148">
            <v>498</v>
          </cell>
          <cell r="I148" t="str">
            <v>ISO 3166-2:MD</v>
          </cell>
          <cell r="J148" t="str">
            <v>Europe</v>
          </cell>
          <cell r="K148" t="str">
            <v>Eastern Europe</v>
          </cell>
        </row>
        <row r="149">
          <cell r="G149" t="str">
            <v>MCO</v>
          </cell>
          <cell r="H149">
            <v>492</v>
          </cell>
          <cell r="I149" t="str">
            <v>ISO 3166-2:MC</v>
          </cell>
          <cell r="J149" t="str">
            <v>Europe</v>
          </cell>
          <cell r="K149" t="str">
            <v>Western Europe</v>
          </cell>
        </row>
        <row r="150">
          <cell r="G150" t="str">
            <v>MNG</v>
          </cell>
          <cell r="H150">
            <v>496</v>
          </cell>
          <cell r="I150" t="str">
            <v>ISO 3166-2:MN</v>
          </cell>
          <cell r="J150" t="str">
            <v>Asia</v>
          </cell>
          <cell r="K150" t="str">
            <v>Eastern Asia</v>
          </cell>
        </row>
        <row r="151">
          <cell r="G151" t="str">
            <v>MNE</v>
          </cell>
          <cell r="H151">
            <v>499</v>
          </cell>
          <cell r="I151" t="str">
            <v>ISO 3166-2:ME</v>
          </cell>
          <cell r="J151" t="str">
            <v>Europe</v>
          </cell>
          <cell r="K151" t="str">
            <v>Southern Europe</v>
          </cell>
        </row>
        <row r="152">
          <cell r="G152" t="str">
            <v>MSR</v>
          </cell>
          <cell r="H152">
            <v>500</v>
          </cell>
          <cell r="I152" t="str">
            <v>ISO 3166-2:MS</v>
          </cell>
          <cell r="J152" t="str">
            <v>Americas</v>
          </cell>
          <cell r="K152" t="str">
            <v>Latin America and the Caribbean</v>
          </cell>
        </row>
        <row r="153">
          <cell r="G153" t="str">
            <v>MAR</v>
          </cell>
          <cell r="H153">
            <v>504</v>
          </cell>
          <cell r="I153" t="str">
            <v>ISO 3166-2:MA</v>
          </cell>
          <cell r="J153" t="str">
            <v>Africa</v>
          </cell>
          <cell r="K153" t="str">
            <v>Northern Africa</v>
          </cell>
        </row>
        <row r="154">
          <cell r="G154" t="str">
            <v>MOZ</v>
          </cell>
          <cell r="H154">
            <v>508</v>
          </cell>
          <cell r="I154" t="str">
            <v>ISO 3166-2:MZ</v>
          </cell>
          <cell r="J154" t="str">
            <v>Africa</v>
          </cell>
          <cell r="K154" t="str">
            <v>Sub-Saharan Africa</v>
          </cell>
        </row>
        <row r="155">
          <cell r="G155" t="str">
            <v>MMR</v>
          </cell>
          <cell r="H155">
            <v>104</v>
          </cell>
          <cell r="I155" t="str">
            <v>ISO 3166-2:MM</v>
          </cell>
          <cell r="J155" t="str">
            <v>Asia</v>
          </cell>
          <cell r="K155" t="str">
            <v>South-eastern Asia</v>
          </cell>
        </row>
        <row r="156">
          <cell r="G156" t="str">
            <v>NAM</v>
          </cell>
          <cell r="H156">
            <v>516</v>
          </cell>
          <cell r="I156" t="str">
            <v>ISO 3166-2:NA</v>
          </cell>
          <cell r="J156" t="str">
            <v>Africa</v>
          </cell>
          <cell r="K156" t="str">
            <v>Sub-Saharan Africa</v>
          </cell>
        </row>
        <row r="157">
          <cell r="G157" t="str">
            <v>NRU</v>
          </cell>
          <cell r="H157">
            <v>520</v>
          </cell>
          <cell r="I157" t="str">
            <v>ISO 3166-2:NR</v>
          </cell>
          <cell r="J157" t="str">
            <v>Oceania</v>
          </cell>
          <cell r="K157" t="str">
            <v>Micronesia</v>
          </cell>
        </row>
        <row r="158">
          <cell r="G158" t="str">
            <v>NPL</v>
          </cell>
          <cell r="H158">
            <v>524</v>
          </cell>
          <cell r="I158" t="str">
            <v>ISO 3166-2:NP</v>
          </cell>
          <cell r="J158" t="str">
            <v>Asia</v>
          </cell>
          <cell r="K158" t="str">
            <v>Southern Asia</v>
          </cell>
        </row>
        <row r="159">
          <cell r="G159" t="str">
            <v>NLD</v>
          </cell>
          <cell r="H159">
            <v>528</v>
          </cell>
          <cell r="I159" t="str">
            <v>ISO 3166-2:NL</v>
          </cell>
          <cell r="J159" t="str">
            <v>Europe</v>
          </cell>
          <cell r="K159" t="str">
            <v>Western Europe</v>
          </cell>
        </row>
        <row r="160">
          <cell r="G160" t="str">
            <v>NCL</v>
          </cell>
          <cell r="H160">
            <v>540</v>
          </cell>
          <cell r="I160" t="str">
            <v>ISO 3166-2:NC</v>
          </cell>
          <cell r="J160" t="str">
            <v>Oceania</v>
          </cell>
          <cell r="K160" t="str">
            <v>Melanesia</v>
          </cell>
        </row>
        <row r="161">
          <cell r="G161" t="str">
            <v>NZL</v>
          </cell>
          <cell r="H161">
            <v>554</v>
          </cell>
          <cell r="I161" t="str">
            <v>ISO 3166-2:NZ</v>
          </cell>
          <cell r="J161" t="str">
            <v>Oceania</v>
          </cell>
          <cell r="K161" t="str">
            <v>Australia and New Zealand</v>
          </cell>
        </row>
        <row r="162">
          <cell r="G162" t="str">
            <v>NIC</v>
          </cell>
          <cell r="H162">
            <v>558</v>
          </cell>
          <cell r="I162" t="str">
            <v>ISO 3166-2:NI</v>
          </cell>
          <cell r="J162" t="str">
            <v>Americas</v>
          </cell>
          <cell r="K162" t="str">
            <v>Latin America and the Caribbean</v>
          </cell>
        </row>
        <row r="163">
          <cell r="G163" t="str">
            <v>NER</v>
          </cell>
          <cell r="H163">
            <v>562</v>
          </cell>
          <cell r="I163" t="str">
            <v>ISO 3166-2:NE</v>
          </cell>
          <cell r="J163" t="str">
            <v>Africa</v>
          </cell>
          <cell r="K163" t="str">
            <v>Sub-Saharan Africa</v>
          </cell>
        </row>
        <row r="164">
          <cell r="G164" t="str">
            <v>NGA</v>
          </cell>
          <cell r="H164">
            <v>566</v>
          </cell>
          <cell r="I164" t="str">
            <v>ISO 3166-2:NG</v>
          </cell>
          <cell r="J164" t="str">
            <v>Africa</v>
          </cell>
          <cell r="K164" t="str">
            <v>Sub-Saharan Africa</v>
          </cell>
        </row>
        <row r="165">
          <cell r="G165" t="str">
            <v>NIU</v>
          </cell>
          <cell r="H165">
            <v>570</v>
          </cell>
          <cell r="I165" t="str">
            <v>ISO 3166-2:NU</v>
          </cell>
          <cell r="J165" t="str">
            <v>Oceania</v>
          </cell>
          <cell r="K165" t="str">
            <v>Polynesia</v>
          </cell>
        </row>
        <row r="166">
          <cell r="G166" t="str">
            <v>NFK</v>
          </cell>
          <cell r="H166">
            <v>574</v>
          </cell>
          <cell r="I166" t="str">
            <v>ISO 3166-2:NF</v>
          </cell>
          <cell r="J166" t="str">
            <v>Oceania</v>
          </cell>
          <cell r="K166" t="str">
            <v>Australia and New Zealand</v>
          </cell>
        </row>
        <row r="167">
          <cell r="G167" t="str">
            <v>MKD</v>
          </cell>
          <cell r="H167">
            <v>807</v>
          </cell>
          <cell r="I167" t="str">
            <v>ISO 3166-2:MK</v>
          </cell>
          <cell r="J167" t="str">
            <v>Europe</v>
          </cell>
          <cell r="K167" t="str">
            <v>Southern Europe</v>
          </cell>
        </row>
        <row r="168">
          <cell r="G168" t="str">
            <v>MNP</v>
          </cell>
          <cell r="H168">
            <v>580</v>
          </cell>
          <cell r="I168" t="str">
            <v>ISO 3166-2:MP</v>
          </cell>
          <cell r="J168" t="str">
            <v>Oceania</v>
          </cell>
          <cell r="K168" t="str">
            <v>Micronesia</v>
          </cell>
        </row>
        <row r="169">
          <cell r="G169" t="str">
            <v>NOR</v>
          </cell>
          <cell r="H169">
            <v>578</v>
          </cell>
          <cell r="I169" t="str">
            <v>ISO 3166-2:NO</v>
          </cell>
          <cell r="J169" t="str">
            <v>Europe</v>
          </cell>
          <cell r="K169" t="str">
            <v>Northern Europe</v>
          </cell>
        </row>
        <row r="170">
          <cell r="G170" t="str">
            <v>OMN</v>
          </cell>
          <cell r="H170">
            <v>512</v>
          </cell>
          <cell r="I170" t="str">
            <v>ISO 3166-2:OM</v>
          </cell>
          <cell r="J170" t="str">
            <v>Asia</v>
          </cell>
          <cell r="K170" t="str">
            <v>Western Asia</v>
          </cell>
        </row>
        <row r="171">
          <cell r="G171" t="str">
            <v>PAK</v>
          </cell>
          <cell r="H171">
            <v>586</v>
          </cell>
          <cell r="I171" t="str">
            <v>ISO 3166-2:PK</v>
          </cell>
          <cell r="J171" t="str">
            <v>Asia</v>
          </cell>
          <cell r="K171" t="str">
            <v>Southern Asia</v>
          </cell>
        </row>
        <row r="172">
          <cell r="G172" t="str">
            <v>PLW</v>
          </cell>
          <cell r="H172">
            <v>585</v>
          </cell>
          <cell r="I172" t="str">
            <v>ISO 3166-2:PW</v>
          </cell>
          <cell r="J172" t="str">
            <v>Oceania</v>
          </cell>
          <cell r="K172" t="str">
            <v>Micronesia</v>
          </cell>
        </row>
        <row r="173">
          <cell r="G173" t="str">
            <v>PSE</v>
          </cell>
          <cell r="H173">
            <v>275</v>
          </cell>
          <cell r="I173" t="str">
            <v>ISO 3166-2:PS</v>
          </cell>
          <cell r="J173" t="str">
            <v>Asia</v>
          </cell>
          <cell r="K173" t="str">
            <v>Western Asia</v>
          </cell>
        </row>
        <row r="174">
          <cell r="G174" t="str">
            <v>PAN</v>
          </cell>
          <cell r="H174">
            <v>591</v>
          </cell>
          <cell r="I174" t="str">
            <v>ISO 3166-2:PA</v>
          </cell>
          <cell r="J174" t="str">
            <v>Americas</v>
          </cell>
          <cell r="K174" t="str">
            <v>Latin America and the Caribbean</v>
          </cell>
        </row>
        <row r="175">
          <cell r="G175" t="str">
            <v>PNG</v>
          </cell>
          <cell r="H175">
            <v>598</v>
          </cell>
          <cell r="I175" t="str">
            <v>ISO 3166-2:PG</v>
          </cell>
          <cell r="J175" t="str">
            <v>Oceania</v>
          </cell>
          <cell r="K175" t="str">
            <v>Melanesia</v>
          </cell>
        </row>
        <row r="176">
          <cell r="G176" t="str">
            <v>PRY</v>
          </cell>
          <cell r="H176">
            <v>600</v>
          </cell>
          <cell r="I176" t="str">
            <v>ISO 3166-2:PY</v>
          </cell>
          <cell r="J176" t="str">
            <v>Americas</v>
          </cell>
          <cell r="K176" t="str">
            <v>Latin America and the Caribbean</v>
          </cell>
        </row>
        <row r="177">
          <cell r="G177" t="str">
            <v>PER</v>
          </cell>
          <cell r="H177">
            <v>604</v>
          </cell>
          <cell r="I177" t="str">
            <v>ISO 3166-2:PE</v>
          </cell>
          <cell r="J177" t="str">
            <v>Americas</v>
          </cell>
          <cell r="K177" t="str">
            <v>Latin America and the Caribbean</v>
          </cell>
        </row>
        <row r="178">
          <cell r="G178" t="str">
            <v>PHL</v>
          </cell>
          <cell r="H178">
            <v>608</v>
          </cell>
          <cell r="I178" t="str">
            <v>ISO 3166-2:PH</v>
          </cell>
          <cell r="J178" t="str">
            <v>Asia</v>
          </cell>
          <cell r="K178" t="str">
            <v>South-eastern Asia</v>
          </cell>
        </row>
        <row r="179">
          <cell r="G179" t="str">
            <v>PCN</v>
          </cell>
          <cell r="H179">
            <v>612</v>
          </cell>
          <cell r="I179" t="str">
            <v>ISO 3166-2:PN</v>
          </cell>
          <cell r="J179" t="str">
            <v>Oceania</v>
          </cell>
          <cell r="K179" t="str">
            <v>Polynesia</v>
          </cell>
        </row>
        <row r="180">
          <cell r="G180" t="str">
            <v>POL</v>
          </cell>
          <cell r="H180">
            <v>616</v>
          </cell>
          <cell r="I180" t="str">
            <v>ISO 3166-2:PL</v>
          </cell>
          <cell r="J180" t="str">
            <v>Europe</v>
          </cell>
          <cell r="K180" t="str">
            <v>Eastern Europe</v>
          </cell>
        </row>
        <row r="181">
          <cell r="G181" t="str">
            <v>PRT</v>
          </cell>
          <cell r="H181">
            <v>620</v>
          </cell>
          <cell r="I181" t="str">
            <v>ISO 3166-2:PT</v>
          </cell>
          <cell r="J181" t="str">
            <v>Europe</v>
          </cell>
          <cell r="K181" t="str">
            <v>Southern Europe</v>
          </cell>
        </row>
        <row r="182">
          <cell r="G182" t="str">
            <v>PRI</v>
          </cell>
          <cell r="H182">
            <v>630</v>
          </cell>
          <cell r="I182" t="str">
            <v>ISO 3166-2:PR</v>
          </cell>
          <cell r="J182" t="str">
            <v>Americas</v>
          </cell>
          <cell r="K182" t="str">
            <v>Latin America and the Caribbean</v>
          </cell>
        </row>
        <row r="183">
          <cell r="G183" t="str">
            <v>QAT</v>
          </cell>
          <cell r="H183">
            <v>634</v>
          </cell>
          <cell r="I183" t="str">
            <v>ISO 3166-2:QA</v>
          </cell>
          <cell r="J183" t="str">
            <v>Asia</v>
          </cell>
          <cell r="K183" t="str">
            <v>Western Asia</v>
          </cell>
        </row>
        <row r="184">
          <cell r="G184" t="str">
            <v>REU</v>
          </cell>
          <cell r="H184">
            <v>638</v>
          </cell>
          <cell r="I184" t="str">
            <v>ISO 3166-2:RE</v>
          </cell>
          <cell r="J184" t="str">
            <v>Africa</v>
          </cell>
          <cell r="K184" t="str">
            <v>Sub-Saharan Africa</v>
          </cell>
        </row>
        <row r="185">
          <cell r="G185" t="str">
            <v>ROU</v>
          </cell>
          <cell r="H185">
            <v>642</v>
          </cell>
          <cell r="I185" t="str">
            <v>ISO 3166-2:RO</v>
          </cell>
          <cell r="J185" t="str">
            <v>Europe</v>
          </cell>
          <cell r="K185" t="str">
            <v>Eastern Europe</v>
          </cell>
        </row>
        <row r="186">
          <cell r="G186" t="str">
            <v>RUS</v>
          </cell>
          <cell r="H186">
            <v>643</v>
          </cell>
          <cell r="I186" t="str">
            <v>ISO 3166-2:RU</v>
          </cell>
          <cell r="J186" t="str">
            <v>Europe</v>
          </cell>
          <cell r="K186" t="str">
            <v>Eastern Europe</v>
          </cell>
        </row>
        <row r="187">
          <cell r="G187" t="str">
            <v>RWA</v>
          </cell>
          <cell r="H187">
            <v>646</v>
          </cell>
          <cell r="I187" t="str">
            <v>ISO 3166-2:RW</v>
          </cell>
          <cell r="J187" t="str">
            <v>Africa</v>
          </cell>
          <cell r="K187" t="str">
            <v>Sub-Saharan Africa</v>
          </cell>
        </row>
        <row r="188">
          <cell r="G188" t="str">
            <v>BLM</v>
          </cell>
          <cell r="H188">
            <v>652</v>
          </cell>
          <cell r="I188" t="str">
            <v>ISO 3166-2:BL</v>
          </cell>
          <cell r="J188" t="str">
            <v>Americas</v>
          </cell>
          <cell r="K188" t="str">
            <v>Latin America and the Caribbean</v>
          </cell>
        </row>
        <row r="189">
          <cell r="G189" t="str">
            <v>SHN</v>
          </cell>
          <cell r="H189">
            <v>654</v>
          </cell>
          <cell r="I189" t="str">
            <v>ISO 3166-2:SH</v>
          </cell>
          <cell r="J189" t="str">
            <v>Africa</v>
          </cell>
          <cell r="K189" t="str">
            <v>Sub-Saharan Africa</v>
          </cell>
        </row>
        <row r="190">
          <cell r="G190" t="str">
            <v>KNA</v>
          </cell>
          <cell r="H190">
            <v>659</v>
          </cell>
          <cell r="I190" t="str">
            <v>ISO 3166-2:KN</v>
          </cell>
          <cell r="J190" t="str">
            <v>Americas</v>
          </cell>
          <cell r="K190" t="str">
            <v>Latin America and the Caribbean</v>
          </cell>
        </row>
        <row r="191">
          <cell r="G191" t="str">
            <v>LCA</v>
          </cell>
          <cell r="H191">
            <v>662</v>
          </cell>
          <cell r="I191" t="str">
            <v>ISO 3166-2:LC</v>
          </cell>
          <cell r="J191" t="str">
            <v>Americas</v>
          </cell>
          <cell r="K191" t="str">
            <v>Latin America and the Caribbean</v>
          </cell>
        </row>
        <row r="192">
          <cell r="G192" t="str">
            <v>MAF</v>
          </cell>
          <cell r="H192">
            <v>663</v>
          </cell>
          <cell r="I192" t="str">
            <v>ISO 3166-2:MF</v>
          </cell>
          <cell r="J192" t="str">
            <v>Americas</v>
          </cell>
          <cell r="K192" t="str">
            <v>Latin America and the Caribbean</v>
          </cell>
        </row>
        <row r="193">
          <cell r="G193" t="str">
            <v>SPM</v>
          </cell>
          <cell r="H193">
            <v>666</v>
          </cell>
          <cell r="I193" t="str">
            <v>ISO 3166-2:PM</v>
          </cell>
          <cell r="J193" t="str">
            <v>Americas</v>
          </cell>
          <cell r="K193" t="str">
            <v>Northern America</v>
          </cell>
        </row>
        <row r="194">
          <cell r="G194" t="str">
            <v>VCT</v>
          </cell>
          <cell r="H194">
            <v>670</v>
          </cell>
          <cell r="I194" t="str">
            <v>ISO 3166-2:VC</v>
          </cell>
          <cell r="J194" t="str">
            <v>Americas</v>
          </cell>
          <cell r="K194" t="str">
            <v>Latin America and the Caribbean</v>
          </cell>
        </row>
        <row r="195">
          <cell r="G195" t="str">
            <v>WSM</v>
          </cell>
          <cell r="H195">
            <v>882</v>
          </cell>
          <cell r="I195" t="str">
            <v>ISO 3166-2:WS</v>
          </cell>
          <cell r="J195" t="str">
            <v>Oceania</v>
          </cell>
          <cell r="K195" t="str">
            <v>Polynesia</v>
          </cell>
        </row>
        <row r="196">
          <cell r="G196" t="str">
            <v>SMR</v>
          </cell>
          <cell r="H196">
            <v>674</v>
          </cell>
          <cell r="I196" t="str">
            <v>ISO 3166-2:SM</v>
          </cell>
          <cell r="J196" t="str">
            <v>Europe</v>
          </cell>
          <cell r="K196" t="str">
            <v>Southern Europe</v>
          </cell>
        </row>
        <row r="197">
          <cell r="G197" t="str">
            <v>STP</v>
          </cell>
          <cell r="H197">
            <v>678</v>
          </cell>
          <cell r="I197" t="str">
            <v>ISO 3166-2:ST</v>
          </cell>
          <cell r="J197" t="str">
            <v>Africa</v>
          </cell>
          <cell r="K197" t="str">
            <v>Sub-Saharan Africa</v>
          </cell>
        </row>
        <row r="198">
          <cell r="G198" t="str">
            <v>SAU</v>
          </cell>
          <cell r="H198">
            <v>682</v>
          </cell>
          <cell r="I198" t="str">
            <v>ISO 3166-2:SA</v>
          </cell>
          <cell r="J198" t="str">
            <v>Asia</v>
          </cell>
          <cell r="K198" t="str">
            <v>Western Asia</v>
          </cell>
        </row>
        <row r="199">
          <cell r="G199" t="str">
            <v>SEN</v>
          </cell>
          <cell r="H199">
            <v>686</v>
          </cell>
          <cell r="I199" t="str">
            <v>ISO 3166-2:SN</v>
          </cell>
          <cell r="J199" t="str">
            <v>Africa</v>
          </cell>
          <cell r="K199" t="str">
            <v>Sub-Saharan Africa</v>
          </cell>
        </row>
        <row r="200">
          <cell r="G200" t="str">
            <v>SRB</v>
          </cell>
          <cell r="H200">
            <v>688</v>
          </cell>
          <cell r="I200" t="str">
            <v>ISO 3166-2:RS</v>
          </cell>
          <cell r="J200" t="str">
            <v>Europe</v>
          </cell>
          <cell r="K200" t="str">
            <v>Southern Europe</v>
          </cell>
        </row>
        <row r="201">
          <cell r="G201" t="str">
            <v>SYC</v>
          </cell>
          <cell r="H201">
            <v>690</v>
          </cell>
          <cell r="I201" t="str">
            <v>ISO 3166-2:SC</v>
          </cell>
          <cell r="J201" t="str">
            <v>Africa</v>
          </cell>
          <cell r="K201" t="str">
            <v>Sub-Saharan Africa</v>
          </cell>
        </row>
        <row r="202">
          <cell r="G202" t="str">
            <v>SLE</v>
          </cell>
          <cell r="H202">
            <v>694</v>
          </cell>
          <cell r="I202" t="str">
            <v>ISO 3166-2:SL</v>
          </cell>
          <cell r="J202" t="str">
            <v>Africa</v>
          </cell>
          <cell r="K202" t="str">
            <v>Sub-Saharan Africa</v>
          </cell>
        </row>
        <row r="203">
          <cell r="G203" t="str">
            <v>SGP</v>
          </cell>
          <cell r="H203">
            <v>702</v>
          </cell>
          <cell r="I203" t="str">
            <v>ISO 3166-2:SG</v>
          </cell>
          <cell r="J203" t="str">
            <v>Asia</v>
          </cell>
          <cell r="K203" t="str">
            <v>South-eastern Asia</v>
          </cell>
        </row>
        <row r="204">
          <cell r="G204" t="str">
            <v>SXM</v>
          </cell>
          <cell r="H204">
            <v>534</v>
          </cell>
          <cell r="I204" t="str">
            <v>ISO 3166-2:SX</v>
          </cell>
          <cell r="J204" t="str">
            <v>Americas</v>
          </cell>
          <cell r="K204" t="str">
            <v>Latin America and the Caribbean</v>
          </cell>
        </row>
        <row r="205">
          <cell r="G205" t="str">
            <v>SVK</v>
          </cell>
          <cell r="H205">
            <v>703</v>
          </cell>
          <cell r="I205" t="str">
            <v>ISO 3166-2:SK</v>
          </cell>
          <cell r="J205" t="str">
            <v>Europe</v>
          </cell>
          <cell r="K205" t="str">
            <v>Eastern Europe</v>
          </cell>
        </row>
        <row r="206">
          <cell r="G206" t="str">
            <v>SVN</v>
          </cell>
          <cell r="H206">
            <v>705</v>
          </cell>
          <cell r="I206" t="str">
            <v>ISO 3166-2:SI</v>
          </cell>
          <cell r="J206" t="str">
            <v>Europe</v>
          </cell>
          <cell r="K206" t="str">
            <v>Southern Europe</v>
          </cell>
        </row>
        <row r="207">
          <cell r="G207" t="str">
            <v>SLB</v>
          </cell>
          <cell r="H207">
            <v>90</v>
          </cell>
          <cell r="I207" t="str">
            <v>ISO 3166-2:SB</v>
          </cell>
          <cell r="J207" t="str">
            <v>Oceania</v>
          </cell>
          <cell r="K207" t="str">
            <v>Melanesia</v>
          </cell>
        </row>
        <row r="208">
          <cell r="G208" t="str">
            <v>SOM</v>
          </cell>
          <cell r="H208">
            <v>706</v>
          </cell>
          <cell r="I208" t="str">
            <v>ISO 3166-2:SO</v>
          </cell>
          <cell r="J208" t="str">
            <v>Africa</v>
          </cell>
          <cell r="K208" t="str">
            <v>Sub-Saharan Africa</v>
          </cell>
        </row>
        <row r="209">
          <cell r="G209" t="str">
            <v>ZAF</v>
          </cell>
          <cell r="H209">
            <v>710</v>
          </cell>
          <cell r="I209" t="str">
            <v>ISO 3166-2:ZA</v>
          </cell>
          <cell r="J209" t="str">
            <v>Africa</v>
          </cell>
          <cell r="K209" t="str">
            <v>Sub-Saharan Africa</v>
          </cell>
        </row>
        <row r="210">
          <cell r="G210" t="str">
            <v>SGS</v>
          </cell>
          <cell r="H210">
            <v>239</v>
          </cell>
          <cell r="I210" t="str">
            <v>ISO 3166-2:GS</v>
          </cell>
          <cell r="J210" t="str">
            <v>Americas</v>
          </cell>
          <cell r="K210" t="str">
            <v>Latin America and the Caribbean</v>
          </cell>
        </row>
        <row r="211">
          <cell r="G211" t="str">
            <v>SSD</v>
          </cell>
          <cell r="H211">
            <v>728</v>
          </cell>
          <cell r="I211" t="str">
            <v>ISO 3166-2:SS</v>
          </cell>
          <cell r="J211" t="str">
            <v>Africa</v>
          </cell>
          <cell r="K211" t="str">
            <v>Sub-Saharan Africa</v>
          </cell>
        </row>
        <row r="212">
          <cell r="G212" t="str">
            <v>ESP</v>
          </cell>
          <cell r="H212">
            <v>724</v>
          </cell>
          <cell r="I212" t="str">
            <v>ISO 3166-2:ES</v>
          </cell>
          <cell r="J212" t="str">
            <v>Europe</v>
          </cell>
          <cell r="K212" t="str">
            <v>Southern Europe</v>
          </cell>
        </row>
        <row r="213">
          <cell r="G213" t="str">
            <v>LKA</v>
          </cell>
          <cell r="H213">
            <v>144</v>
          </cell>
          <cell r="I213" t="str">
            <v>ISO 3166-2:LK</v>
          </cell>
          <cell r="J213" t="str">
            <v>Asia</v>
          </cell>
          <cell r="K213" t="str">
            <v>Southern Asia</v>
          </cell>
        </row>
        <row r="214">
          <cell r="G214" t="str">
            <v>SDN</v>
          </cell>
          <cell r="H214">
            <v>729</v>
          </cell>
          <cell r="I214" t="str">
            <v>ISO 3166-2:SD</v>
          </cell>
          <cell r="J214" t="str">
            <v>Africa</v>
          </cell>
          <cell r="K214" t="str">
            <v>Northern Africa</v>
          </cell>
        </row>
        <row r="215">
          <cell r="G215" t="str">
            <v>SUR</v>
          </cell>
          <cell r="H215">
            <v>740</v>
          </cell>
          <cell r="I215" t="str">
            <v>ISO 3166-2:SR</v>
          </cell>
          <cell r="J215" t="str">
            <v>Americas</v>
          </cell>
          <cell r="K215" t="str">
            <v>Latin America and the Caribbean</v>
          </cell>
        </row>
        <row r="216">
          <cell r="G216" t="str">
            <v>SJM</v>
          </cell>
          <cell r="H216">
            <v>744</v>
          </cell>
          <cell r="I216" t="str">
            <v>ISO 3166-2:SJ</v>
          </cell>
          <cell r="J216" t="str">
            <v>Europe</v>
          </cell>
          <cell r="K216" t="str">
            <v>Northern Europe</v>
          </cell>
        </row>
        <row r="217">
          <cell r="G217" t="str">
            <v>SWE</v>
          </cell>
          <cell r="H217">
            <v>752</v>
          </cell>
          <cell r="I217" t="str">
            <v>ISO 3166-2:SE</v>
          </cell>
          <cell r="J217" t="str">
            <v>Europe</v>
          </cell>
          <cell r="K217" t="str">
            <v>Northern Europe</v>
          </cell>
        </row>
        <row r="218">
          <cell r="G218" t="str">
            <v>CHE</v>
          </cell>
          <cell r="H218">
            <v>756</v>
          </cell>
          <cell r="I218" t="str">
            <v>ISO 3166-2:CH</v>
          </cell>
          <cell r="J218" t="str">
            <v>Europe</v>
          </cell>
          <cell r="K218" t="str">
            <v>Western Europe</v>
          </cell>
        </row>
        <row r="219">
          <cell r="G219" t="str">
            <v>SYR</v>
          </cell>
          <cell r="H219">
            <v>760</v>
          </cell>
          <cell r="I219" t="str">
            <v>ISO 3166-2:SY</v>
          </cell>
          <cell r="J219" t="str">
            <v>Asia</v>
          </cell>
          <cell r="K219" t="str">
            <v>Western Asia</v>
          </cell>
        </row>
        <row r="220">
          <cell r="G220" t="str">
            <v>TWN</v>
          </cell>
          <cell r="H220">
            <v>158</v>
          </cell>
          <cell r="I220" t="str">
            <v>ISO 3166-2:TW</v>
          </cell>
          <cell r="J220" t="str">
            <v>Asia</v>
          </cell>
          <cell r="K220" t="str">
            <v>Eastern Asia</v>
          </cell>
        </row>
        <row r="221">
          <cell r="G221" t="str">
            <v>TJK</v>
          </cell>
          <cell r="H221">
            <v>762</v>
          </cell>
          <cell r="I221" t="str">
            <v>ISO 3166-2:TJ</v>
          </cell>
          <cell r="J221" t="str">
            <v>Asia</v>
          </cell>
          <cell r="K221" t="str">
            <v>Central Asia</v>
          </cell>
        </row>
        <row r="222">
          <cell r="G222" t="str">
            <v>TZA</v>
          </cell>
          <cell r="H222">
            <v>834</v>
          </cell>
          <cell r="I222" t="str">
            <v>ISO 3166-2:TZ</v>
          </cell>
          <cell r="J222" t="str">
            <v>Africa</v>
          </cell>
          <cell r="K222" t="str">
            <v>Sub-Saharan Africa</v>
          </cell>
        </row>
        <row r="223">
          <cell r="G223" t="str">
            <v>THA</v>
          </cell>
          <cell r="H223">
            <v>764</v>
          </cell>
          <cell r="I223" t="str">
            <v>ISO 3166-2:TH</v>
          </cell>
          <cell r="J223" t="str">
            <v>Asia</v>
          </cell>
          <cell r="K223" t="str">
            <v>South-eastern Asia</v>
          </cell>
        </row>
        <row r="224">
          <cell r="G224" t="str">
            <v>TLS</v>
          </cell>
          <cell r="H224">
            <v>626</v>
          </cell>
          <cell r="I224" t="str">
            <v>ISO 3166-2:TL</v>
          </cell>
          <cell r="J224" t="str">
            <v>Asia</v>
          </cell>
          <cell r="K224" t="str">
            <v>South-eastern Asia</v>
          </cell>
        </row>
        <row r="225">
          <cell r="G225" t="str">
            <v>TGO</v>
          </cell>
          <cell r="H225">
            <v>768</v>
          </cell>
          <cell r="I225" t="str">
            <v>ISO 3166-2:TG</v>
          </cell>
          <cell r="J225" t="str">
            <v>Africa</v>
          </cell>
          <cell r="K225" t="str">
            <v>Sub-Saharan Africa</v>
          </cell>
        </row>
        <row r="226">
          <cell r="G226" t="str">
            <v>TKL</v>
          </cell>
          <cell r="H226">
            <v>772</v>
          </cell>
          <cell r="I226" t="str">
            <v>ISO 3166-2:TK</v>
          </cell>
          <cell r="J226" t="str">
            <v>Oceania</v>
          </cell>
          <cell r="K226" t="str">
            <v>Polynesia</v>
          </cell>
        </row>
        <row r="227">
          <cell r="G227" t="str">
            <v>TON</v>
          </cell>
          <cell r="H227">
            <v>776</v>
          </cell>
          <cell r="I227" t="str">
            <v>ISO 3166-2:TO</v>
          </cell>
          <cell r="J227" t="str">
            <v>Oceania</v>
          </cell>
          <cell r="K227" t="str">
            <v>Polynesia</v>
          </cell>
        </row>
        <row r="228">
          <cell r="G228" t="str">
            <v>TTO</v>
          </cell>
          <cell r="H228">
            <v>780</v>
          </cell>
          <cell r="I228" t="str">
            <v>ISO 3166-2:TT</v>
          </cell>
          <cell r="J228" t="str">
            <v>Americas</v>
          </cell>
          <cell r="K228" t="str">
            <v>Latin America and the Caribbean</v>
          </cell>
        </row>
        <row r="229">
          <cell r="G229" t="str">
            <v>TUN</v>
          </cell>
          <cell r="H229">
            <v>788</v>
          </cell>
          <cell r="I229" t="str">
            <v>ISO 3166-2:TN</v>
          </cell>
          <cell r="J229" t="str">
            <v>Africa</v>
          </cell>
          <cell r="K229" t="str">
            <v>Northern Africa</v>
          </cell>
        </row>
        <row r="230">
          <cell r="G230" t="str">
            <v>TUR</v>
          </cell>
          <cell r="H230">
            <v>792</v>
          </cell>
          <cell r="I230" t="str">
            <v>ISO 3166-2:TR</v>
          </cell>
          <cell r="J230" t="str">
            <v>Asia</v>
          </cell>
          <cell r="K230" t="str">
            <v>Western Asia</v>
          </cell>
        </row>
        <row r="231">
          <cell r="G231" t="str">
            <v>TKM</v>
          </cell>
          <cell r="H231">
            <v>795</v>
          </cell>
          <cell r="I231" t="str">
            <v>ISO 3166-2:TM</v>
          </cell>
          <cell r="J231" t="str">
            <v>Asia</v>
          </cell>
          <cell r="K231" t="str">
            <v>Central Asia</v>
          </cell>
        </row>
        <row r="232">
          <cell r="G232" t="str">
            <v>TCA</v>
          </cell>
          <cell r="H232">
            <v>796</v>
          </cell>
          <cell r="I232" t="str">
            <v>ISO 3166-2:TC</v>
          </cell>
          <cell r="J232" t="str">
            <v>Americas</v>
          </cell>
          <cell r="K232" t="str">
            <v>Latin America and the Caribbean</v>
          </cell>
        </row>
        <row r="233">
          <cell r="G233" t="str">
            <v>TUV</v>
          </cell>
          <cell r="H233">
            <v>798</v>
          </cell>
          <cell r="I233" t="str">
            <v>ISO 3166-2:TV</v>
          </cell>
          <cell r="J233" t="str">
            <v>Oceania</v>
          </cell>
          <cell r="K233" t="str">
            <v>Polynesia</v>
          </cell>
        </row>
        <row r="234">
          <cell r="G234" t="str">
            <v>UGA</v>
          </cell>
          <cell r="H234">
            <v>800</v>
          </cell>
          <cell r="I234" t="str">
            <v>ISO 3166-2:UG</v>
          </cell>
          <cell r="J234" t="str">
            <v>Africa</v>
          </cell>
          <cell r="K234" t="str">
            <v>Sub-Saharan Africa</v>
          </cell>
        </row>
        <row r="235">
          <cell r="G235" t="str">
            <v>UKR</v>
          </cell>
          <cell r="H235">
            <v>804</v>
          </cell>
          <cell r="I235" t="str">
            <v>ISO 3166-2:UA</v>
          </cell>
          <cell r="J235" t="str">
            <v>Europe</v>
          </cell>
          <cell r="K235" t="str">
            <v>Eastern Europe</v>
          </cell>
        </row>
        <row r="236">
          <cell r="G236" t="str">
            <v>ARE</v>
          </cell>
          <cell r="H236">
            <v>784</v>
          </cell>
          <cell r="I236" t="str">
            <v>ISO 3166-2:AE</v>
          </cell>
          <cell r="J236" t="str">
            <v>Asia</v>
          </cell>
          <cell r="K236" t="str">
            <v>Western Asia</v>
          </cell>
        </row>
        <row r="237">
          <cell r="G237" t="str">
            <v>GBR</v>
          </cell>
          <cell r="H237">
            <v>826</v>
          </cell>
          <cell r="I237" t="str">
            <v>ISO 3166-2:GB</v>
          </cell>
          <cell r="J237" t="str">
            <v>Europe</v>
          </cell>
          <cell r="K237" t="str">
            <v>Northern Europe</v>
          </cell>
        </row>
        <row r="238">
          <cell r="G238" t="str">
            <v>USA</v>
          </cell>
          <cell r="H238">
            <v>840</v>
          </cell>
          <cell r="I238" t="str">
            <v>ISO 3166-2:US</v>
          </cell>
          <cell r="J238" t="str">
            <v>Americas</v>
          </cell>
          <cell r="K238" t="str">
            <v>Northern America</v>
          </cell>
        </row>
        <row r="239">
          <cell r="G239" t="str">
            <v>UMI</v>
          </cell>
          <cell r="H239">
            <v>581</v>
          </cell>
          <cell r="I239" t="str">
            <v>ISO 3166-2:UM</v>
          </cell>
          <cell r="J239" t="str">
            <v>Oceania</v>
          </cell>
          <cell r="K239" t="str">
            <v>Micronesia</v>
          </cell>
        </row>
        <row r="240">
          <cell r="G240" t="str">
            <v>URY</v>
          </cell>
          <cell r="H240">
            <v>858</v>
          </cell>
          <cell r="I240" t="str">
            <v>ISO 3166-2:UY</v>
          </cell>
          <cell r="J240" t="str">
            <v>Americas</v>
          </cell>
          <cell r="K240" t="str">
            <v>Latin America and the Caribbean</v>
          </cell>
        </row>
        <row r="241">
          <cell r="G241" t="str">
            <v>UZB</v>
          </cell>
          <cell r="H241">
            <v>860</v>
          </cell>
          <cell r="I241" t="str">
            <v>ISO 3166-2:UZ</v>
          </cell>
          <cell r="J241" t="str">
            <v>Asia</v>
          </cell>
          <cell r="K241" t="str">
            <v>Central Asia</v>
          </cell>
        </row>
        <row r="242">
          <cell r="G242" t="str">
            <v>VUT</v>
          </cell>
          <cell r="H242">
            <v>548</v>
          </cell>
          <cell r="I242" t="str">
            <v>ISO 3166-2:VU</v>
          </cell>
          <cell r="J242" t="str">
            <v>Oceania</v>
          </cell>
          <cell r="K242" t="str">
            <v>Melanesia</v>
          </cell>
        </row>
        <row r="243">
          <cell r="G243" t="str">
            <v>VEN</v>
          </cell>
          <cell r="H243">
            <v>862</v>
          </cell>
          <cell r="I243" t="str">
            <v>ISO 3166-2:VE</v>
          </cell>
          <cell r="J243" t="str">
            <v>Americas</v>
          </cell>
          <cell r="K243" t="str">
            <v>Latin America and the Caribbean</v>
          </cell>
        </row>
        <row r="244">
          <cell r="G244" t="str">
            <v>VNM</v>
          </cell>
          <cell r="H244">
            <v>704</v>
          </cell>
          <cell r="I244" t="str">
            <v>ISO 3166-2:VN</v>
          </cell>
          <cell r="J244" t="str">
            <v>Asia</v>
          </cell>
          <cell r="K244" t="str">
            <v>South-eastern Asia</v>
          </cell>
        </row>
        <row r="245">
          <cell r="G245" t="str">
            <v>VGB</v>
          </cell>
          <cell r="H245">
            <v>92</v>
          </cell>
          <cell r="I245" t="str">
            <v>ISO 3166-2:VG</v>
          </cell>
          <cell r="J245" t="str">
            <v>Americas</v>
          </cell>
          <cell r="K245" t="str">
            <v>Latin America and the Caribbean</v>
          </cell>
        </row>
        <row r="246">
          <cell r="G246" t="str">
            <v>VIR</v>
          </cell>
          <cell r="H246">
            <v>850</v>
          </cell>
          <cell r="I246" t="str">
            <v>ISO 3166-2:VI</v>
          </cell>
          <cell r="J246" t="str">
            <v>Americas</v>
          </cell>
          <cell r="K246" t="str">
            <v>Latin America and the Caribbean</v>
          </cell>
        </row>
        <row r="247">
          <cell r="G247" t="str">
            <v>WLF</v>
          </cell>
          <cell r="H247">
            <v>876</v>
          </cell>
          <cell r="I247" t="str">
            <v>ISO 3166-2:WF</v>
          </cell>
          <cell r="J247" t="str">
            <v>Oceania</v>
          </cell>
          <cell r="K247" t="str">
            <v>Polynesia</v>
          </cell>
        </row>
        <row r="248">
          <cell r="G248" t="str">
            <v>ESH</v>
          </cell>
          <cell r="H248">
            <v>732</v>
          </cell>
          <cell r="I248" t="str">
            <v>ISO 3166-2:EH</v>
          </cell>
          <cell r="J248" t="str">
            <v>Africa</v>
          </cell>
          <cell r="K248" t="str">
            <v>Northern Africa</v>
          </cell>
        </row>
        <row r="249">
          <cell r="G249" t="str">
            <v>YEM</v>
          </cell>
          <cell r="H249">
            <v>887</v>
          </cell>
          <cell r="I249" t="str">
            <v>ISO 3166-2:YE</v>
          </cell>
          <cell r="J249" t="str">
            <v>Asia</v>
          </cell>
          <cell r="K249" t="str">
            <v>Western Asia</v>
          </cell>
        </row>
        <row r="250">
          <cell r="G250" t="str">
            <v>ZMB</v>
          </cell>
          <cell r="H250">
            <v>894</v>
          </cell>
          <cell r="I250" t="str">
            <v>ISO 3166-2:ZM</v>
          </cell>
          <cell r="J250" t="str">
            <v>Africa</v>
          </cell>
          <cell r="K250" t="str">
            <v>Sub-Saharan Africa</v>
          </cell>
        </row>
        <row r="251">
          <cell r="G251" t="str">
            <v>ZWE</v>
          </cell>
          <cell r="H251">
            <v>716</v>
          </cell>
          <cell r="I251" t="str">
            <v>ISO 3166-2:ZW</v>
          </cell>
          <cell r="J251" t="str">
            <v>Africa</v>
          </cell>
          <cell r="K251" t="str">
            <v>Sub-Saharan Africa</v>
          </cell>
        </row>
      </sheetData>
      <sheetData sheetId="35">
        <row r="14">
          <cell r="A14" t="str">
            <v>Belgium</v>
          </cell>
          <cell r="B14">
            <v>125843</v>
          </cell>
          <cell r="C14">
            <v>32581.3</v>
          </cell>
          <cell r="D14">
            <v>0.25890434906987275</v>
          </cell>
        </row>
        <row r="15">
          <cell r="A15" t="str">
            <v>Bulgaria</v>
          </cell>
          <cell r="B15">
            <v>16383.8</v>
          </cell>
          <cell r="C15">
            <v>5265.2</v>
          </cell>
          <cell r="D15">
            <v>0.32136622761508321</v>
          </cell>
        </row>
        <row r="16">
          <cell r="A16" t="str">
            <v>Czechia</v>
          </cell>
          <cell r="B16">
            <v>63041.1</v>
          </cell>
          <cell r="C16">
            <v>27603.7</v>
          </cell>
        </row>
        <row r="17">
          <cell r="A17" t="str">
            <v>Denmark</v>
          </cell>
          <cell r="B17">
            <v>93427.4</v>
          </cell>
          <cell r="C17">
            <v>24180.400000000001</v>
          </cell>
          <cell r="D17">
            <v>0.25881486587446512</v>
          </cell>
        </row>
        <row r="18">
          <cell r="A18" t="str">
            <v>Germany (until 1990 former territory of the FRG)</v>
          </cell>
          <cell r="B18">
            <v>1238275.3</v>
          </cell>
          <cell r="C18">
            <v>236433.3</v>
          </cell>
          <cell r="D18">
            <v>0.19093758875752426</v>
          </cell>
        </row>
        <row r="19">
          <cell r="A19" t="str">
            <v>Estonia</v>
          </cell>
          <cell r="B19">
            <v>5866.2</v>
          </cell>
          <cell r="C19">
            <v>2398.6</v>
          </cell>
          <cell r="D19">
            <v>0.40888479765435887</v>
          </cell>
        </row>
        <row r="20">
          <cell r="A20" t="str">
            <v>Ireland</v>
          </cell>
          <cell r="B20">
            <v>66537.5</v>
          </cell>
          <cell r="C20">
            <v>24632.2</v>
          </cell>
          <cell r="D20">
            <v>0.37020026300958109</v>
          </cell>
        </row>
        <row r="21">
          <cell r="A21" t="str">
            <v>Greece</v>
          </cell>
          <cell r="B21">
            <v>32763.8</v>
          </cell>
          <cell r="C21">
            <v>6211.9</v>
          </cell>
          <cell r="D21">
            <v>0.18959644485682367</v>
          </cell>
        </row>
        <row r="22">
          <cell r="A22" t="str">
            <v>Spain</v>
          </cell>
          <cell r="B22">
            <v>350152.1</v>
          </cell>
          <cell r="C22">
            <v>76707.600000000006</v>
          </cell>
          <cell r="D22">
            <v>0.21906937013943373</v>
          </cell>
        </row>
        <row r="23">
          <cell r="A23" t="str">
            <v>France</v>
          </cell>
          <cell r="B23">
            <v>761136.9</v>
          </cell>
          <cell r="C23">
            <v>132535.70000000001</v>
          </cell>
          <cell r="D23">
            <v>0.17412859631427671</v>
          </cell>
        </row>
        <row r="24">
          <cell r="A24" t="str">
            <v>Croatia</v>
          </cell>
          <cell r="B24">
            <v>15051.7</v>
          </cell>
          <cell r="C24">
            <v>3918.5</v>
          </cell>
          <cell r="D24">
            <v>0.26033604177601199</v>
          </cell>
        </row>
        <row r="25">
          <cell r="A25" t="str">
            <v>Italy</v>
          </cell>
          <cell r="B25">
            <v>422412.7</v>
          </cell>
          <cell r="C25">
            <v>76512.5</v>
          </cell>
          <cell r="D25">
            <v>0.18113210137858071</v>
          </cell>
        </row>
        <row r="26">
          <cell r="A26" t="str">
            <v>Cyprus</v>
          </cell>
          <cell r="B26">
            <v>5888.1</v>
          </cell>
          <cell r="C26">
            <v>656.3</v>
          </cell>
          <cell r="D26">
            <v>0.1114621015268083</v>
          </cell>
        </row>
        <row r="27">
          <cell r="A27" t="str">
            <v>Latvia</v>
          </cell>
          <cell r="B27">
            <v>7944.6</v>
          </cell>
          <cell r="C27">
            <v>2540.1</v>
          </cell>
          <cell r="D27">
            <v>0.3197266067517559</v>
          </cell>
        </row>
        <row r="28">
          <cell r="A28" t="str">
            <v>Lithuania</v>
          </cell>
          <cell r="B28">
            <v>12805.5</v>
          </cell>
          <cell r="C28">
            <v>3372.5</v>
          </cell>
          <cell r="D28">
            <v>0.26336339853968999</v>
          </cell>
        </row>
        <row r="29">
          <cell r="A29" t="str">
            <v>Luxembourg</v>
          </cell>
          <cell r="B29">
            <v>16213.7</v>
          </cell>
          <cell r="C29">
            <v>6880.1</v>
          </cell>
          <cell r="D29">
            <v>0.42433867655131152</v>
          </cell>
        </row>
        <row r="30">
          <cell r="A30" t="str">
            <v>Hungary</v>
          </cell>
          <cell r="B30">
            <v>37871.699999999997</v>
          </cell>
          <cell r="C30">
            <v>17095.2</v>
          </cell>
          <cell r="D30">
            <v>0.45139774554614664</v>
          </cell>
        </row>
        <row r="31">
          <cell r="A31" t="str">
            <v>Malta</v>
          </cell>
          <cell r="B31">
            <v>3301.4</v>
          </cell>
          <cell r="C31">
            <v>940.8</v>
          </cell>
          <cell r="D31">
            <v>0.28497001272187555</v>
          </cell>
        </row>
        <row r="32">
          <cell r="A32" t="str">
            <v>Netherlands</v>
          </cell>
          <cell r="B32">
            <v>209191.4</v>
          </cell>
          <cell r="C32">
            <v>59513.5</v>
          </cell>
          <cell r="D32">
            <v>0.28449305277367998</v>
          </cell>
        </row>
        <row r="33">
          <cell r="A33" t="str">
            <v>Austria</v>
          </cell>
          <cell r="B33">
            <v>131653.79999999999</v>
          </cell>
          <cell r="C33">
            <v>37619.5</v>
          </cell>
          <cell r="D33">
            <v>0.28574564501746247</v>
          </cell>
        </row>
        <row r="34">
          <cell r="A34" t="str">
            <v>Poland</v>
          </cell>
          <cell r="B34">
            <v>113252</v>
          </cell>
          <cell r="C34">
            <v>44435.6</v>
          </cell>
          <cell r="D34">
            <v>0.39236039981633875</v>
          </cell>
        </row>
        <row r="35">
          <cell r="A35" t="str">
            <v>Portugal</v>
          </cell>
          <cell r="B35">
            <v>56377.2</v>
          </cell>
          <cell r="C35">
            <v>14139.3</v>
          </cell>
          <cell r="D35">
            <v>0.25079819501500605</v>
          </cell>
        </row>
        <row r="36">
          <cell r="A36" t="str">
            <v>Romania</v>
          </cell>
          <cell r="B36">
            <v>44668.5</v>
          </cell>
          <cell r="C36">
            <v>18898.599999999999</v>
          </cell>
          <cell r="D36">
            <v>0.42308561962009017</v>
          </cell>
        </row>
        <row r="37">
          <cell r="A37" t="str">
            <v>Slovenia</v>
          </cell>
          <cell r="B37">
            <v>15076.2</v>
          </cell>
          <cell r="C37">
            <v>4454.7</v>
          </cell>
          <cell r="D37">
            <v>0.29547896684841007</v>
          </cell>
        </row>
        <row r="38">
          <cell r="A38" t="str">
            <v>Slovakia</v>
          </cell>
          <cell r="B38">
            <v>23176.1</v>
          </cell>
          <cell r="C38">
            <v>11635.8</v>
          </cell>
          <cell r="D38">
            <v>0.5020603121318945</v>
          </cell>
        </row>
        <row r="39">
          <cell r="A39" t="str">
            <v>Finland</v>
          </cell>
          <cell r="B39">
            <v>66417.8</v>
          </cell>
          <cell r="C39">
            <v>14900.8</v>
          </cell>
          <cell r="D39">
            <v>0.2243494966710731</v>
          </cell>
        </row>
        <row r="40">
          <cell r="A40" t="str">
            <v>Sweden</v>
          </cell>
          <cell r="B40">
            <v>157409.70000000001</v>
          </cell>
          <cell r="C40">
            <v>43415.4</v>
          </cell>
          <cell r="D40">
            <v>0.27581146524007094</v>
          </cell>
        </row>
        <row r="41">
          <cell r="A41" t="str">
            <v>United Kingdom</v>
          </cell>
          <cell r="B41">
            <v>95720.5</v>
          </cell>
          <cell r="C41">
            <v>25146</v>
          </cell>
          <cell r="D41">
            <v>0.26270234693717648</v>
          </cell>
        </row>
        <row r="42">
          <cell r="A42" t="str">
            <v>Norway</v>
          </cell>
          <cell r="B42">
            <v>93218.1</v>
          </cell>
          <cell r="C42">
            <v>25239.9</v>
          </cell>
          <cell r="D42">
            <v>0.27076179411509138</v>
          </cell>
        </row>
        <row r="43">
          <cell r="A43" t="str">
            <v>Bosnia and Herzegovina</v>
          </cell>
          <cell r="B43">
            <v>4075</v>
          </cell>
          <cell r="C43">
            <v>736.7</v>
          </cell>
          <cell r="D43">
            <v>0.18078527607361963</v>
          </cell>
        </row>
      </sheetData>
      <sheetData sheetId="36">
        <row r="15">
          <cell r="B15">
            <v>49394.400000000001</v>
          </cell>
        </row>
        <row r="18">
          <cell r="B18">
            <v>23071.200000000001</v>
          </cell>
        </row>
        <row r="37">
          <cell r="W37">
            <v>1663.6</v>
          </cell>
        </row>
      </sheetData>
      <sheetData sheetId="37">
        <row r="9">
          <cell r="C9">
            <v>384.46150216048017</v>
          </cell>
        </row>
        <row r="13">
          <cell r="C13">
            <v>523.31609648332426</v>
          </cell>
        </row>
      </sheetData>
      <sheetData sheetId="38">
        <row r="7">
          <cell r="M7">
            <v>115083.83988139361</v>
          </cell>
        </row>
        <row r="8">
          <cell r="M8">
            <v>361.45589325426243</v>
          </cell>
        </row>
        <row r="9">
          <cell r="M9">
            <v>141.67899614378933</v>
          </cell>
        </row>
        <row r="98">
          <cell r="W98">
            <v>142672.34988880652</v>
          </cell>
        </row>
      </sheetData>
      <sheetData sheetId="39" refreshError="1"/>
      <sheetData sheetId="40" refreshError="1"/>
      <sheetData sheetId="41" refreshError="1"/>
      <sheetData sheetId="42" refreshError="1"/>
      <sheetData sheetId="43">
        <row r="3">
          <cell r="E3" t="str">
            <v>Row Labels</v>
          </cell>
          <cell r="F3" t="str">
            <v>Sum of 2018</v>
          </cell>
          <cell r="G3" t="str">
            <v>USD millions</v>
          </cell>
          <cell r="H3" t="str">
            <v>Excessive</v>
          </cell>
        </row>
        <row r="4">
          <cell r="E4" t="str">
            <v xml:space="preserve"> (not allocated)</v>
          </cell>
          <cell r="F4">
            <v>10886.562152607383</v>
          </cell>
          <cell r="G4">
            <v>10631.408352155648</v>
          </cell>
          <cell r="H4">
            <v>6572.2700513507152</v>
          </cell>
        </row>
        <row r="5">
          <cell r="E5" t="str">
            <v>All countries (excluding Rest of the world, international organisations)Total</v>
          </cell>
          <cell r="F5">
            <v>85264.378538075791</v>
          </cell>
          <cell r="G5">
            <v>83265.994666089638</v>
          </cell>
          <cell r="H5">
            <v>51474.516349370446</v>
          </cell>
        </row>
        <row r="6">
          <cell r="E6" t="str">
            <v>All countriesTotal</v>
          </cell>
          <cell r="F6">
            <v>86911.202032578149</v>
          </cell>
          <cell r="G6">
            <v>84874.22073493959</v>
          </cell>
          <cell r="H6">
            <v>52468.711631687955</v>
          </cell>
        </row>
        <row r="7">
          <cell r="E7" t="str">
            <v>Australia</v>
          </cell>
          <cell r="F7">
            <v>1133.1463507962787</v>
          </cell>
          <cell r="G7">
            <v>1106.588233199491</v>
          </cell>
          <cell r="H7">
            <v>684.08591442727038</v>
          </cell>
        </row>
        <row r="8">
          <cell r="E8" t="str">
            <v>Australia, Oceania and Polar regionsAustralia, Oceania and Polar regions (not allocated)</v>
          </cell>
          <cell r="F8">
            <v>336.59138954683135</v>
          </cell>
          <cell r="G8">
            <v>328.70252885432751</v>
          </cell>
          <cell r="H8">
            <v>203.20184444373351</v>
          </cell>
        </row>
        <row r="9">
          <cell r="E9" t="str">
            <v>Australia, Oceania and Polar regionsTotal</v>
          </cell>
          <cell r="F9">
            <v>1262.2153136142083</v>
          </cell>
          <cell r="G9">
            <v>1232.6321422013752</v>
          </cell>
          <cell r="H9">
            <v>762.00546947100941</v>
          </cell>
        </row>
        <row r="10">
          <cell r="E10" t="str">
            <v>Austria</v>
          </cell>
          <cell r="F10">
            <v>839.45245543351507</v>
          </cell>
          <cell r="G10">
            <v>819.77778850929201</v>
          </cell>
          <cell r="H10">
            <v>506.78149401435587</v>
          </cell>
        </row>
        <row r="11">
          <cell r="E11" t="str">
            <v>Belgium</v>
          </cell>
          <cell r="F11">
            <v>1134.9762647450195</v>
          </cell>
          <cell r="G11">
            <v>1108.3752585400582</v>
          </cell>
          <cell r="H11">
            <v>685.19064229941853</v>
          </cell>
        </row>
        <row r="12">
          <cell r="E12" t="str">
            <v>Brazil</v>
          </cell>
          <cell r="F12">
            <v>380.08759639572986</v>
          </cell>
          <cell r="G12">
            <v>371.17929335520495</v>
          </cell>
          <cell r="H12">
            <v>229.46071419646847</v>
          </cell>
        </row>
        <row r="13">
          <cell r="E13" t="str">
            <v>Bulgaria</v>
          </cell>
          <cell r="F13">
            <v>56.710126749966669</v>
          </cell>
          <cell r="G13">
            <v>55.380983154264321</v>
          </cell>
          <cell r="H13">
            <v>34.236176896105093</v>
          </cell>
        </row>
        <row r="14">
          <cell r="E14" t="str">
            <v>Canada</v>
          </cell>
          <cell r="F14">
            <v>1231.2438064478963</v>
          </cell>
          <cell r="G14">
            <v>1202.3865297342736</v>
          </cell>
          <cell r="H14">
            <v>743.30782129328838</v>
          </cell>
        </row>
        <row r="15">
          <cell r="E15" t="str">
            <v>Chile</v>
          </cell>
          <cell r="F15">
            <v>223.65792050199431</v>
          </cell>
          <cell r="G15">
            <v>218.41593799022883</v>
          </cell>
          <cell r="H15">
            <v>135.02336477366077</v>
          </cell>
        </row>
        <row r="16">
          <cell r="E16" t="str">
            <v>China</v>
          </cell>
          <cell r="F16">
            <v>2314.8736954886235</v>
          </cell>
          <cell r="G16">
            <v>2260.6188432506087</v>
          </cell>
          <cell r="H16">
            <v>1397.5004090594034</v>
          </cell>
        </row>
        <row r="17">
          <cell r="E17" t="str">
            <v>Croatia</v>
          </cell>
          <cell r="F17">
            <v>47.496594099904335</v>
          </cell>
          <cell r="G17">
            <v>46.38339267568783</v>
          </cell>
          <cell r="H17">
            <v>28.673922820456085</v>
          </cell>
        </row>
        <row r="18">
          <cell r="E18" t="str">
            <v>Czech</v>
          </cell>
          <cell r="F18">
            <v>398.58479200098816</v>
          </cell>
          <cell r="G18">
            <v>389.24296093846499</v>
          </cell>
          <cell r="H18">
            <v>240.62756035104624</v>
          </cell>
        </row>
        <row r="19">
          <cell r="E19" t="str">
            <v>Denmark</v>
          </cell>
          <cell r="F19">
            <v>326.85912231924465</v>
          </cell>
          <cell r="G19">
            <v>319.19836163988737</v>
          </cell>
          <cell r="H19">
            <v>197.32642780301825</v>
          </cell>
        </row>
        <row r="20">
          <cell r="E20" t="str">
            <v>EU</v>
          </cell>
          <cell r="F20">
            <v>40715.026532747142</v>
          </cell>
          <cell r="G20">
            <v>39760.768098385881</v>
          </cell>
          <cell r="H20">
            <v>24579.857788901219</v>
          </cell>
        </row>
        <row r="21">
          <cell r="E21" t="str">
            <v>Europe (not allocated)</v>
          </cell>
          <cell r="F21">
            <v>2709.0630049640022</v>
          </cell>
          <cell r="G21">
            <v>2645.5693407851581</v>
          </cell>
          <cell r="H21">
            <v>1635.4743954208516</v>
          </cell>
        </row>
        <row r="22">
          <cell r="E22" t="str">
            <v>Finland</v>
          </cell>
          <cell r="F22">
            <v>374.11210102144469</v>
          </cell>
          <cell r="G22">
            <v>365.34384865375455</v>
          </cell>
          <cell r="H22">
            <v>225.85327883350652</v>
          </cell>
        </row>
        <row r="23">
          <cell r="E23" t="str">
            <v>France</v>
          </cell>
          <cell r="F23">
            <v>3653.9401757143723</v>
          </cell>
          <cell r="G23">
            <v>3568.3009528460666</v>
          </cell>
          <cell r="H23">
            <v>2205.9012982829581</v>
          </cell>
        </row>
        <row r="24">
          <cell r="E24" t="str">
            <v>Germany</v>
          </cell>
          <cell r="F24">
            <v>7698.2877131882833</v>
          </cell>
          <cell r="G24">
            <v>7517.8590949104328</v>
          </cell>
          <cell r="H24">
            <v>4647.4934028600337</v>
          </cell>
        </row>
        <row r="25">
          <cell r="E25" t="str">
            <v>Greece</v>
          </cell>
          <cell r="F25">
            <v>365.07249423034006</v>
          </cell>
          <cell r="G25">
            <v>356.51610764681647</v>
          </cell>
          <cell r="H25">
            <v>220.39602463733823</v>
          </cell>
        </row>
        <row r="26">
          <cell r="E26" t="str">
            <v>Gulf Arabian countries</v>
          </cell>
          <cell r="F26">
            <v>2154.3831069910898</v>
          </cell>
          <cell r="G26">
            <v>2103.8897529209862</v>
          </cell>
          <cell r="H26">
            <v>1300.6114671216249</v>
          </cell>
        </row>
        <row r="27">
          <cell r="E27" t="str">
            <v>Hong Kong SAR</v>
          </cell>
          <cell r="F27">
            <v>648.46375601651471</v>
          </cell>
          <cell r="G27">
            <v>633.26538673487767</v>
          </cell>
          <cell r="H27">
            <v>391.4806954951336</v>
          </cell>
        </row>
        <row r="28">
          <cell r="E28" t="str">
            <v>Hungary</v>
          </cell>
          <cell r="F28">
            <v>189.47604660475258</v>
          </cell>
          <cell r="G28">
            <v>185.03520176245368</v>
          </cell>
          <cell r="H28">
            <v>114.38760272456585</v>
          </cell>
        </row>
        <row r="29">
          <cell r="E29" t="str">
            <v>India</v>
          </cell>
          <cell r="F29">
            <v>425.68370225120225</v>
          </cell>
          <cell r="G29">
            <v>415.7067404796897</v>
          </cell>
          <cell r="H29">
            <v>256.98730310225687</v>
          </cell>
        </row>
        <row r="30">
          <cell r="E30" t="str">
            <v>Ireland</v>
          </cell>
          <cell r="F30">
            <v>5231.8098398463344</v>
          </cell>
          <cell r="G30">
            <v>5109.189296724936</v>
          </cell>
          <cell r="H30">
            <v>3158.4688208066409</v>
          </cell>
        </row>
        <row r="31">
          <cell r="E31" t="str">
            <v>Israel</v>
          </cell>
          <cell r="F31">
            <v>623.56390980468041</v>
          </cell>
          <cell r="G31">
            <v>608.94913066863319</v>
          </cell>
          <cell r="H31">
            <v>376.44853830471305</v>
          </cell>
        </row>
        <row r="32">
          <cell r="E32" t="str">
            <v>Italy</v>
          </cell>
          <cell r="F32">
            <v>2295.6983777478022</v>
          </cell>
          <cell r="G32">
            <v>2241.892947019338</v>
          </cell>
          <cell r="H32">
            <v>1385.924177302627</v>
          </cell>
        </row>
        <row r="33">
          <cell r="E33" t="str">
            <v>Japan</v>
          </cell>
          <cell r="F33">
            <v>1959.5984297226014</v>
          </cell>
          <cell r="G33">
            <v>1913.6703415259778</v>
          </cell>
          <cell r="H33">
            <v>1183.0190184745475</v>
          </cell>
        </row>
        <row r="34">
          <cell r="E34" t="str">
            <v>Luxembourg</v>
          </cell>
          <cell r="F34">
            <v>2907.5100526065166</v>
          </cell>
          <cell r="G34">
            <v>2839.3652857485513</v>
          </cell>
          <cell r="H34">
            <v>1755.2778347175717</v>
          </cell>
        </row>
        <row r="35">
          <cell r="E35" t="str">
            <v>Malaysia</v>
          </cell>
          <cell r="F35">
            <v>332.84817689358317</v>
          </cell>
          <cell r="G35">
            <v>325.04704774763979</v>
          </cell>
          <cell r="H35">
            <v>200.94204892041597</v>
          </cell>
        </row>
        <row r="36">
          <cell r="E36" t="str">
            <v>Mexico</v>
          </cell>
          <cell r="F36">
            <v>806.89949033263315</v>
          </cell>
          <cell r="G36">
            <v>787.98778352796205</v>
          </cell>
          <cell r="H36">
            <v>487.12911205795018</v>
          </cell>
        </row>
        <row r="37">
          <cell r="E37" t="str">
            <v>Netherlands</v>
          </cell>
          <cell r="F37">
            <v>2432.7971074748239</v>
          </cell>
          <cell r="G37">
            <v>2375.7784252683828</v>
          </cell>
          <cell r="H37">
            <v>1468.6913413377235</v>
          </cell>
        </row>
        <row r="38">
          <cell r="E38" t="str">
            <v>North Total</v>
          </cell>
          <cell r="F38">
            <v>477.64779981864297</v>
          </cell>
          <cell r="G38">
            <v>466.45292951039352</v>
          </cell>
          <cell r="H38">
            <v>288.35827930213657</v>
          </cell>
        </row>
        <row r="39">
          <cell r="E39" t="str">
            <v>Norway</v>
          </cell>
          <cell r="F39">
            <v>317.43622992238443</v>
          </cell>
          <cell r="G39">
            <v>309.99631828357855</v>
          </cell>
          <cell r="H39">
            <v>191.6377822389866</v>
          </cell>
        </row>
        <row r="40">
          <cell r="E40" t="str">
            <v>Poland</v>
          </cell>
          <cell r="F40">
            <v>598.33022460407471</v>
          </cell>
          <cell r="G40">
            <v>584.30685996491673</v>
          </cell>
          <cell r="H40">
            <v>361.21484090746515</v>
          </cell>
        </row>
        <row r="41">
          <cell r="E41" t="str">
            <v>Portugal</v>
          </cell>
          <cell r="F41">
            <v>265.37199422550111</v>
          </cell>
          <cell r="G41">
            <v>259.1523381108409</v>
          </cell>
          <cell r="H41">
            <v>160.206352167636</v>
          </cell>
        </row>
        <row r="42">
          <cell r="E42" t="str">
            <v>Rest of the world (not allocated), international organisationsTotal</v>
          </cell>
          <cell r="F42">
            <v>1646.8385183350151</v>
          </cell>
          <cell r="G42">
            <v>1608.2407405615381</v>
          </cell>
          <cell r="H42">
            <v>994.20435227770542</v>
          </cell>
        </row>
        <row r="43">
          <cell r="E43" t="str">
            <v>Romania</v>
          </cell>
          <cell r="F43">
            <v>129.52074062321279</v>
          </cell>
          <cell r="G43">
            <v>126.48509826485623</v>
          </cell>
          <cell r="H43">
            <v>78.192295482631138</v>
          </cell>
        </row>
        <row r="44">
          <cell r="E44" t="str">
            <v>Russia</v>
          </cell>
          <cell r="F44">
            <v>929.81565316562842</v>
          </cell>
          <cell r="G44">
            <v>908.02309879455902</v>
          </cell>
          <cell r="H44">
            <v>561.33419209056274</v>
          </cell>
        </row>
        <row r="45">
          <cell r="E45" t="str">
            <v>Singapore</v>
          </cell>
          <cell r="F45">
            <v>1639.6677928529662</v>
          </cell>
          <cell r="G45">
            <v>1601.2380789579747</v>
          </cell>
          <cell r="H45">
            <v>989.87535073695358</v>
          </cell>
        </row>
        <row r="46">
          <cell r="E46" t="str">
            <v>Slovenia</v>
          </cell>
          <cell r="F46">
            <v>59.32610506602817</v>
          </cell>
          <cell r="G46">
            <v>57.935649478543134</v>
          </cell>
          <cell r="H46">
            <v>35.815455616110945</v>
          </cell>
        </row>
        <row r="47">
          <cell r="E47" t="str">
            <v xml:space="preserve">South </v>
          </cell>
          <cell r="F47">
            <v>305.27712277731121</v>
          </cell>
          <cell r="G47">
            <v>298.12219021221796</v>
          </cell>
          <cell r="H47">
            <v>184.29727064124685</v>
          </cell>
        </row>
        <row r="48">
          <cell r="E48" t="str">
            <v>Spain</v>
          </cell>
          <cell r="F48">
            <v>1482.3162654886626</v>
          </cell>
          <cell r="G48">
            <v>1447.574478016272</v>
          </cell>
          <cell r="H48">
            <v>894.88147513748174</v>
          </cell>
        </row>
        <row r="49">
          <cell r="E49" t="str">
            <v>Sweden</v>
          </cell>
          <cell r="F49">
            <v>640.91167071990344</v>
          </cell>
          <cell r="G49">
            <v>625.89030343740569</v>
          </cell>
          <cell r="H49">
            <v>386.92146519594525</v>
          </cell>
        </row>
        <row r="50">
          <cell r="E50" t="str">
            <v>Total</v>
          </cell>
          <cell r="F50">
            <v>84376.661963647697</v>
          </cell>
          <cell r="G50">
            <v>82399.083948874701</v>
          </cell>
          <cell r="H50">
            <v>50938.597574056788</v>
          </cell>
        </row>
        <row r="51">
          <cell r="E51" t="str">
            <v>Turkey</v>
          </cell>
          <cell r="F51">
            <v>502.58866279085134</v>
          </cell>
          <cell r="G51">
            <v>490.80924100669074</v>
          </cell>
          <cell r="H51">
            <v>303.41519850852058</v>
          </cell>
        </row>
        <row r="52">
          <cell r="E52" t="str">
            <v>United Kingdom</v>
          </cell>
          <cell r="F52">
            <v>8432.183675955579</v>
          </cell>
          <cell r="G52">
            <v>8234.5543710503698</v>
          </cell>
          <cell r="H52">
            <v>5090.5499334055812</v>
          </cell>
        </row>
        <row r="53">
          <cell r="E53" t="str">
            <v>US</v>
          </cell>
          <cell r="F53">
            <v>15046.653483379709</v>
          </cell>
          <cell r="G53">
            <v>14693.997542362997</v>
          </cell>
          <cell r="H53">
            <v>9083.7372418972136</v>
          </cell>
        </row>
        <row r="54">
          <cell r="E54" t="str">
            <v>Grand Total</v>
          </cell>
          <cell r="F54">
            <v>385122.82007293287</v>
          </cell>
          <cell r="G54">
            <v>376096.50397747348</v>
          </cell>
          <cell r="H54">
            <v>232500.50300322301</v>
          </cell>
        </row>
      </sheetData>
      <sheetData sheetId="44" refreshError="1"/>
      <sheetData sheetId="45" refreshError="1"/>
      <sheetData sheetId="46" refreshError="1"/>
      <sheetData sheetId="47">
        <row r="8">
          <cell r="I8">
            <v>29061.390842403038</v>
          </cell>
          <cell r="K8">
            <v>4908.2</v>
          </cell>
          <cell r="M8">
            <v>4151.7098433977899</v>
          </cell>
          <cell r="O8">
            <v>15807.203243977161</v>
          </cell>
        </row>
        <row r="13">
          <cell r="H13">
            <v>88768.94072110788</v>
          </cell>
          <cell r="I13">
            <v>334308.37897128548</v>
          </cell>
          <cell r="K13">
            <v>29544.369658523159</v>
          </cell>
          <cell r="M13">
            <v>28561.303741788841</v>
          </cell>
          <cell r="O13">
            <v>283064.4881300992</v>
          </cell>
          <cell r="Q13">
            <v>9.7067853897124332E-3</v>
          </cell>
          <cell r="R13">
            <v>0.1376324780672917</v>
          </cell>
        </row>
      </sheetData>
      <sheetData sheetId="48" refreshError="1"/>
      <sheetData sheetId="49">
        <row r="4">
          <cell r="J4" t="str">
            <v>Austria</v>
          </cell>
          <cell r="K4">
            <v>527</v>
          </cell>
          <cell r="L4">
            <v>25</v>
          </cell>
          <cell r="M4">
            <v>754</v>
          </cell>
          <cell r="N4">
            <v>546</v>
          </cell>
          <cell r="O4">
            <v>112</v>
          </cell>
          <cell r="P4">
            <v>769.1</v>
          </cell>
          <cell r="S4" t="str">
            <v>Austria</v>
          </cell>
          <cell r="T4">
            <v>39.6</v>
          </cell>
          <cell r="U4">
            <v>0</v>
          </cell>
          <cell r="V4">
            <v>73.099999999999994</v>
          </cell>
          <cell r="W4">
            <v>98.1</v>
          </cell>
          <cell r="X4">
            <v>0.3</v>
          </cell>
          <cell r="Y4">
            <v>88</v>
          </cell>
        </row>
        <row r="5">
          <cell r="J5" t="str">
            <v>Belgium</v>
          </cell>
          <cell r="K5">
            <v>0</v>
          </cell>
          <cell r="L5">
            <v>13.2</v>
          </cell>
          <cell r="M5">
            <v>2134</v>
          </cell>
          <cell r="N5">
            <v>3870</v>
          </cell>
          <cell r="O5">
            <v>32</v>
          </cell>
          <cell r="P5">
            <v>5403.9</v>
          </cell>
          <cell r="S5" t="str">
            <v>Belgium</v>
          </cell>
          <cell r="T5">
            <v>0</v>
          </cell>
          <cell r="U5">
            <v>0</v>
          </cell>
          <cell r="V5">
            <v>451.3</v>
          </cell>
          <cell r="W5">
            <v>1060.0999999999999</v>
          </cell>
          <cell r="X5">
            <v>0</v>
          </cell>
          <cell r="Y5">
            <v>517</v>
          </cell>
        </row>
        <row r="6">
          <cell r="J6" t="str">
            <v>Bulgaria</v>
          </cell>
          <cell r="K6">
            <v>141.30000000000001</v>
          </cell>
          <cell r="L6">
            <v>3.8</v>
          </cell>
          <cell r="M6">
            <v>92</v>
          </cell>
          <cell r="N6">
            <v>66</v>
          </cell>
          <cell r="O6">
            <v>2</v>
          </cell>
          <cell r="P6">
            <v>116.2</v>
          </cell>
          <cell r="S6" t="str">
            <v>Bulgaria</v>
          </cell>
          <cell r="T6">
            <v>1</v>
          </cell>
          <cell r="U6">
            <v>0.1</v>
          </cell>
          <cell r="V6">
            <v>1.8</v>
          </cell>
          <cell r="W6">
            <v>7.5</v>
          </cell>
          <cell r="X6">
            <v>0</v>
          </cell>
          <cell r="Y6">
            <v>63</v>
          </cell>
        </row>
        <row r="7">
          <cell r="J7" t="str">
            <v>Croatia</v>
          </cell>
          <cell r="K7">
            <v>54</v>
          </cell>
          <cell r="L7">
            <v>4</v>
          </cell>
          <cell r="M7">
            <v>76</v>
          </cell>
          <cell r="N7">
            <v>50</v>
          </cell>
          <cell r="O7">
            <v>0.4</v>
          </cell>
          <cell r="P7">
            <v>204.2</v>
          </cell>
          <cell r="S7" t="str">
            <v>Croatia</v>
          </cell>
          <cell r="T7">
            <v>0</v>
          </cell>
          <cell r="U7">
            <v>0</v>
          </cell>
          <cell r="V7">
            <v>0.3</v>
          </cell>
          <cell r="W7">
            <v>0</v>
          </cell>
          <cell r="X7">
            <v>0</v>
          </cell>
          <cell r="Y7">
            <v>23</v>
          </cell>
        </row>
        <row r="8">
          <cell r="J8" t="str">
            <v>Cyprus</v>
          </cell>
          <cell r="K8">
            <v>151</v>
          </cell>
          <cell r="L8">
            <v>0</v>
          </cell>
          <cell r="M8">
            <v>-436</v>
          </cell>
          <cell r="N8">
            <v>152</v>
          </cell>
          <cell r="O8">
            <v>162</v>
          </cell>
          <cell r="P8">
            <v>215.2</v>
          </cell>
          <cell r="S8" t="str">
            <v>Cyprus</v>
          </cell>
          <cell r="T8">
            <v>9.1</v>
          </cell>
          <cell r="U8">
            <v>0</v>
          </cell>
          <cell r="V8">
            <v>53.5</v>
          </cell>
          <cell r="W8">
            <v>34.1</v>
          </cell>
          <cell r="X8">
            <v>0.5</v>
          </cell>
          <cell r="Y8">
            <v>250</v>
          </cell>
        </row>
        <row r="9">
          <cell r="J9" t="str">
            <v>Czech Republic</v>
          </cell>
          <cell r="K9">
            <v>427</v>
          </cell>
          <cell r="L9">
            <v>8</v>
          </cell>
          <cell r="M9">
            <v>465</v>
          </cell>
          <cell r="N9">
            <v>272.60000000000002</v>
          </cell>
          <cell r="O9">
            <v>31.9</v>
          </cell>
          <cell r="P9">
            <v>611.4</v>
          </cell>
          <cell r="S9" t="str">
            <v>Czech Republic</v>
          </cell>
          <cell r="T9">
            <v>4</v>
          </cell>
          <cell r="U9">
            <v>0.4</v>
          </cell>
          <cell r="V9">
            <v>49.6</v>
          </cell>
          <cell r="W9">
            <v>40.6</v>
          </cell>
          <cell r="X9">
            <v>0.7</v>
          </cell>
          <cell r="Y9">
            <v>92</v>
          </cell>
        </row>
        <row r="10">
          <cell r="J10" t="str">
            <v>Denmark</v>
          </cell>
          <cell r="K10">
            <v>585</v>
          </cell>
          <cell r="L10">
            <v>29.3</v>
          </cell>
          <cell r="M10">
            <v>1427</v>
          </cell>
          <cell r="N10">
            <v>458</v>
          </cell>
          <cell r="O10">
            <v>208.6</v>
          </cell>
          <cell r="P10">
            <v>1354.6</v>
          </cell>
          <cell r="S10" t="str">
            <v>Denmark</v>
          </cell>
          <cell r="T10">
            <v>13.9</v>
          </cell>
          <cell r="U10">
            <v>0</v>
          </cell>
          <cell r="V10">
            <v>13.3</v>
          </cell>
          <cell r="W10">
            <v>36.6</v>
          </cell>
          <cell r="X10">
            <v>0.5</v>
          </cell>
          <cell r="Y10">
            <v>73</v>
          </cell>
        </row>
        <row r="11">
          <cell r="J11" t="str">
            <v>Estonia</v>
          </cell>
          <cell r="K11">
            <v>67</v>
          </cell>
          <cell r="L11">
            <v>0.3</v>
          </cell>
          <cell r="M11">
            <v>42</v>
          </cell>
          <cell r="N11">
            <v>86</v>
          </cell>
          <cell r="O11">
            <v>15.2</v>
          </cell>
          <cell r="P11">
            <v>47.1</v>
          </cell>
          <cell r="S11" t="str">
            <v>Estonia</v>
          </cell>
          <cell r="T11">
            <v>3</v>
          </cell>
          <cell r="U11">
            <v>0</v>
          </cell>
          <cell r="V11">
            <v>1.8</v>
          </cell>
          <cell r="W11">
            <v>0</v>
          </cell>
          <cell r="X11">
            <v>0</v>
          </cell>
          <cell r="Y11">
            <v>11</v>
          </cell>
        </row>
        <row r="12">
          <cell r="J12" t="str">
            <v>Finland</v>
          </cell>
          <cell r="K12">
            <v>349</v>
          </cell>
          <cell r="L12">
            <v>2.4</v>
          </cell>
          <cell r="M12">
            <v>1013</v>
          </cell>
          <cell r="N12">
            <v>635</v>
          </cell>
          <cell r="O12">
            <v>67.7</v>
          </cell>
          <cell r="P12">
            <v>1015.7</v>
          </cell>
          <cell r="S12" t="str">
            <v>Finland</v>
          </cell>
          <cell r="T12">
            <v>6.6</v>
          </cell>
          <cell r="U12">
            <v>0</v>
          </cell>
          <cell r="V12">
            <v>2</v>
          </cell>
          <cell r="W12">
            <v>13.7</v>
          </cell>
          <cell r="X12">
            <v>0</v>
          </cell>
          <cell r="Y12">
            <v>178</v>
          </cell>
        </row>
        <row r="13">
          <cell r="J13" t="str">
            <v>France</v>
          </cell>
          <cell r="K13">
            <v>5064</v>
          </cell>
          <cell r="L13">
            <v>33</v>
          </cell>
          <cell r="M13">
            <v>5810</v>
          </cell>
          <cell r="N13">
            <v>9034</v>
          </cell>
          <cell r="O13">
            <v>345.9</v>
          </cell>
          <cell r="P13">
            <v>7090.5</v>
          </cell>
          <cell r="S13" t="str">
            <v>France</v>
          </cell>
          <cell r="T13">
            <v>272</v>
          </cell>
          <cell r="U13">
            <v>0</v>
          </cell>
          <cell r="V13">
            <v>191</v>
          </cell>
          <cell r="W13">
            <v>800.6</v>
          </cell>
          <cell r="X13">
            <v>3.3</v>
          </cell>
          <cell r="Y13">
            <v>960</v>
          </cell>
        </row>
        <row r="14">
          <cell r="J14" t="str">
            <v>Germany (until 1990 former territory of the FRG)</v>
          </cell>
          <cell r="K14">
            <v>5228</v>
          </cell>
          <cell r="L14">
            <v>102</v>
          </cell>
          <cell r="M14">
            <v>10358</v>
          </cell>
          <cell r="N14">
            <v>15309</v>
          </cell>
          <cell r="O14">
            <v>743.2</v>
          </cell>
          <cell r="P14">
            <v>11789.5</v>
          </cell>
          <cell r="S14" t="str">
            <v>Germany (until 1990 former territory of the FRG)</v>
          </cell>
          <cell r="T14">
            <v>661.2</v>
          </cell>
          <cell r="U14">
            <v>0</v>
          </cell>
          <cell r="V14">
            <v>338</v>
          </cell>
          <cell r="W14">
            <v>1715</v>
          </cell>
          <cell r="X14">
            <v>16.399999999999999</v>
          </cell>
          <cell r="Y14">
            <v>5403</v>
          </cell>
        </row>
        <row r="15">
          <cell r="J15" t="str">
            <v>Greece</v>
          </cell>
          <cell r="K15">
            <v>263</v>
          </cell>
          <cell r="L15">
            <v>87</v>
          </cell>
          <cell r="M15">
            <v>350.4</v>
          </cell>
          <cell r="N15">
            <v>200</v>
          </cell>
          <cell r="O15">
            <v>41.2</v>
          </cell>
          <cell r="P15">
            <v>446.8</v>
          </cell>
          <cell r="S15" t="str">
            <v>Greece</v>
          </cell>
          <cell r="T15">
            <v>1.5</v>
          </cell>
          <cell r="U15">
            <v>0</v>
          </cell>
          <cell r="V15">
            <v>9.9</v>
          </cell>
          <cell r="W15">
            <v>3.1</v>
          </cell>
          <cell r="X15">
            <v>0</v>
          </cell>
          <cell r="Y15">
            <v>41</v>
          </cell>
        </row>
        <row r="16">
          <cell r="J16" t="str">
            <v>Hungary</v>
          </cell>
          <cell r="K16">
            <v>255</v>
          </cell>
          <cell r="L16">
            <v>1.2</v>
          </cell>
          <cell r="M16">
            <v>2249.5</v>
          </cell>
          <cell r="N16">
            <v>155.6</v>
          </cell>
          <cell r="O16">
            <v>12.2</v>
          </cell>
          <cell r="P16">
            <v>778.2</v>
          </cell>
          <cell r="S16" t="str">
            <v>Hungary</v>
          </cell>
          <cell r="T16">
            <v>1.7</v>
          </cell>
          <cell r="U16">
            <v>0</v>
          </cell>
          <cell r="V16">
            <v>560.9</v>
          </cell>
          <cell r="W16">
            <v>20.6</v>
          </cell>
          <cell r="X16">
            <v>0</v>
          </cell>
          <cell r="Y16">
            <v>66</v>
          </cell>
        </row>
        <row r="17">
          <cell r="J17" t="str">
            <v>Ireland</v>
          </cell>
          <cell r="K17">
            <v>3028</v>
          </cell>
          <cell r="L17">
            <v>31.7</v>
          </cell>
          <cell r="M17">
            <v>0</v>
          </cell>
          <cell r="N17">
            <v>969</v>
          </cell>
          <cell r="O17">
            <v>323</v>
          </cell>
          <cell r="P17">
            <v>25210.1</v>
          </cell>
          <cell r="S17" t="str">
            <v>Ireland</v>
          </cell>
          <cell r="T17">
            <v>103.5</v>
          </cell>
          <cell r="U17">
            <v>2.1</v>
          </cell>
          <cell r="V17">
            <v>0</v>
          </cell>
          <cell r="W17">
            <v>735.9</v>
          </cell>
          <cell r="X17">
            <v>6.1999999999999993</v>
          </cell>
          <cell r="Y17">
            <v>4506</v>
          </cell>
        </row>
        <row r="18">
          <cell r="J18" t="str">
            <v>Italy</v>
          </cell>
          <cell r="K18">
            <v>1487</v>
          </cell>
          <cell r="L18">
            <v>40</v>
          </cell>
          <cell r="M18">
            <v>5102</v>
          </cell>
          <cell r="N18">
            <v>8428</v>
          </cell>
          <cell r="O18">
            <v>196.8</v>
          </cell>
          <cell r="P18">
            <v>3262.7</v>
          </cell>
          <cell r="S18" t="str">
            <v>Italy</v>
          </cell>
          <cell r="T18">
            <v>283.7</v>
          </cell>
          <cell r="U18">
            <v>1.4</v>
          </cell>
          <cell r="V18">
            <v>155.9</v>
          </cell>
          <cell r="W18">
            <v>633.59999999999991</v>
          </cell>
          <cell r="X18">
            <v>3.9</v>
          </cell>
          <cell r="Y18">
            <v>805</v>
          </cell>
        </row>
        <row r="19">
          <cell r="J19" t="str">
            <v>Latvia</v>
          </cell>
          <cell r="K19">
            <v>36.9</v>
          </cell>
          <cell r="L19">
            <v>2</v>
          </cell>
          <cell r="M19">
            <v>72</v>
          </cell>
          <cell r="N19">
            <v>70</v>
          </cell>
          <cell r="O19">
            <v>3.2</v>
          </cell>
          <cell r="P19">
            <v>49.1</v>
          </cell>
          <cell r="S19" t="str">
            <v>Latvia</v>
          </cell>
          <cell r="T19">
            <v>0.8</v>
          </cell>
          <cell r="U19">
            <v>0</v>
          </cell>
          <cell r="V19">
            <v>0</v>
          </cell>
          <cell r="W19">
            <v>3.2</v>
          </cell>
          <cell r="X19">
            <v>0</v>
          </cell>
          <cell r="Y19">
            <v>1</v>
          </cell>
        </row>
        <row r="20">
          <cell r="J20" t="str">
            <v>Lithuania</v>
          </cell>
          <cell r="K20">
            <v>42.6</v>
          </cell>
          <cell r="L20">
            <v>2</v>
          </cell>
          <cell r="M20">
            <v>72</v>
          </cell>
          <cell r="N20">
            <v>19.7</v>
          </cell>
          <cell r="O20">
            <v>1.2</v>
          </cell>
          <cell r="P20">
            <v>88.4</v>
          </cell>
          <cell r="S20" t="str">
            <v>Lithuania</v>
          </cell>
          <cell r="T20">
            <v>2.2999999999999998</v>
          </cell>
          <cell r="U20">
            <v>0</v>
          </cell>
          <cell r="V20">
            <v>6.9</v>
          </cell>
          <cell r="W20">
            <v>6.9</v>
          </cell>
          <cell r="X20">
            <v>0.1</v>
          </cell>
          <cell r="Y20">
            <v>13</v>
          </cell>
        </row>
        <row r="21">
          <cell r="J21" t="str">
            <v>Luxembourg</v>
          </cell>
          <cell r="K21">
            <v>4165</v>
          </cell>
          <cell r="L21">
            <v>120</v>
          </cell>
          <cell r="M21">
            <v>-799</v>
          </cell>
          <cell r="N21">
            <v>0</v>
          </cell>
          <cell r="O21">
            <v>210</v>
          </cell>
          <cell r="P21">
            <v>2535</v>
          </cell>
          <cell r="S21" t="str">
            <v>Luxembourg</v>
          </cell>
          <cell r="T21">
            <v>366</v>
          </cell>
          <cell r="U21">
            <v>0</v>
          </cell>
          <cell r="V21">
            <v>1709.6</v>
          </cell>
          <cell r="W21">
            <v>0</v>
          </cell>
          <cell r="X21">
            <v>1.5</v>
          </cell>
          <cell r="Y21">
            <v>1058</v>
          </cell>
        </row>
        <row r="22">
          <cell r="J22" t="str">
            <v>Malta</v>
          </cell>
          <cell r="K22">
            <v>71.8</v>
          </cell>
          <cell r="L22">
            <v>7</v>
          </cell>
          <cell r="M22">
            <v>115</v>
          </cell>
          <cell r="N22">
            <v>201</v>
          </cell>
          <cell r="O22">
            <v>0</v>
          </cell>
          <cell r="P22">
            <v>444.8</v>
          </cell>
          <cell r="S22" t="str">
            <v>Malta</v>
          </cell>
          <cell r="T22">
            <v>0.1</v>
          </cell>
          <cell r="U22">
            <v>0</v>
          </cell>
          <cell r="V22">
            <v>68.599999999999994</v>
          </cell>
          <cell r="W22">
            <v>0.3</v>
          </cell>
          <cell r="X22">
            <v>0</v>
          </cell>
          <cell r="Y22">
            <v>4</v>
          </cell>
        </row>
        <row r="23">
          <cell r="J23" t="str">
            <v>Netherlands</v>
          </cell>
          <cell r="K23">
            <v>7979</v>
          </cell>
          <cell r="L23">
            <v>39</v>
          </cell>
          <cell r="M23">
            <v>5282</v>
          </cell>
          <cell r="N23">
            <v>2361.1</v>
          </cell>
          <cell r="O23">
            <v>294</v>
          </cell>
          <cell r="P23">
            <v>0</v>
          </cell>
          <cell r="S23" t="str">
            <v>Netherlands</v>
          </cell>
          <cell r="T23">
            <v>258.2</v>
          </cell>
          <cell r="U23">
            <v>0.6</v>
          </cell>
          <cell r="V23">
            <v>3748</v>
          </cell>
          <cell r="W23">
            <v>536.5</v>
          </cell>
          <cell r="X23">
            <v>2.2000000000000002</v>
          </cell>
          <cell r="Y23">
            <v>0</v>
          </cell>
        </row>
        <row r="24">
          <cell r="J24" t="str">
            <v>Poland</v>
          </cell>
          <cell r="K24">
            <v>349</v>
          </cell>
          <cell r="L24">
            <v>7</v>
          </cell>
          <cell r="M24">
            <v>1202</v>
          </cell>
          <cell r="N24">
            <v>546</v>
          </cell>
          <cell r="O24">
            <v>140.5</v>
          </cell>
          <cell r="P24">
            <v>1113.5</v>
          </cell>
          <cell r="S24" t="str">
            <v>Poland</v>
          </cell>
          <cell r="T24">
            <v>85.1</v>
          </cell>
          <cell r="U24">
            <v>0</v>
          </cell>
          <cell r="V24">
            <v>29.7</v>
          </cell>
          <cell r="W24">
            <v>201.1</v>
          </cell>
          <cell r="X24">
            <v>0.8</v>
          </cell>
          <cell r="Y24">
            <v>212</v>
          </cell>
        </row>
        <row r="25">
          <cell r="J25" t="str">
            <v>Portugal</v>
          </cell>
          <cell r="K25">
            <v>292</v>
          </cell>
          <cell r="L25">
            <v>2</v>
          </cell>
          <cell r="M25">
            <v>635</v>
          </cell>
          <cell r="N25">
            <v>409.4</v>
          </cell>
          <cell r="O25">
            <v>33</v>
          </cell>
          <cell r="P25">
            <v>575.5</v>
          </cell>
          <cell r="S25" t="str">
            <v>Portugal</v>
          </cell>
          <cell r="T25">
            <v>29.4</v>
          </cell>
          <cell r="U25">
            <v>0</v>
          </cell>
          <cell r="V25">
            <v>50</v>
          </cell>
          <cell r="W25">
            <v>119</v>
          </cell>
          <cell r="X25">
            <v>0</v>
          </cell>
          <cell r="Y25">
            <v>409</v>
          </cell>
        </row>
        <row r="26">
          <cell r="J26" t="str">
            <v>Romania</v>
          </cell>
          <cell r="K26">
            <v>244</v>
          </cell>
          <cell r="L26">
            <v>9.8000000000000007</v>
          </cell>
          <cell r="M26">
            <v>140</v>
          </cell>
          <cell r="N26">
            <v>149.80000000000001</v>
          </cell>
          <cell r="O26">
            <v>3</v>
          </cell>
          <cell r="P26">
            <v>420.2</v>
          </cell>
          <cell r="S26" t="str">
            <v>Romania</v>
          </cell>
          <cell r="T26">
            <v>6.7</v>
          </cell>
          <cell r="U26">
            <v>0</v>
          </cell>
          <cell r="V26">
            <v>5.4</v>
          </cell>
          <cell r="W26">
            <v>14</v>
          </cell>
          <cell r="X26">
            <v>0</v>
          </cell>
          <cell r="Y26">
            <v>199</v>
          </cell>
        </row>
        <row r="27">
          <cell r="J27" t="str">
            <v>Slovakia</v>
          </cell>
          <cell r="K27">
            <v>203</v>
          </cell>
          <cell r="L27">
            <v>4</v>
          </cell>
          <cell r="M27">
            <v>100</v>
          </cell>
          <cell r="N27">
            <v>174</v>
          </cell>
          <cell r="O27">
            <v>9.9</v>
          </cell>
          <cell r="P27">
            <v>158.80000000000001</v>
          </cell>
          <cell r="S27" t="str">
            <v>Slovakia</v>
          </cell>
          <cell r="T27">
            <v>17.100000000000001</v>
          </cell>
          <cell r="U27">
            <v>0</v>
          </cell>
          <cell r="V27">
            <v>22</v>
          </cell>
          <cell r="W27">
            <v>52.5</v>
          </cell>
          <cell r="X27">
            <v>0</v>
          </cell>
          <cell r="Y27">
            <v>28</v>
          </cell>
        </row>
        <row r="28">
          <cell r="J28" t="str">
            <v>Slovenia</v>
          </cell>
          <cell r="K28">
            <v>52</v>
          </cell>
          <cell r="L28">
            <v>4</v>
          </cell>
          <cell r="M28">
            <v>93</v>
          </cell>
          <cell r="N28">
            <v>32</v>
          </cell>
          <cell r="O28">
            <v>0.9</v>
          </cell>
          <cell r="P28">
            <v>75.8</v>
          </cell>
          <cell r="S28" t="str">
            <v>Slovenia</v>
          </cell>
          <cell r="T28">
            <v>4.5</v>
          </cell>
          <cell r="U28">
            <v>0</v>
          </cell>
          <cell r="V28">
            <v>0.2</v>
          </cell>
          <cell r="W28">
            <v>17.600000000000001</v>
          </cell>
          <cell r="X28">
            <v>0</v>
          </cell>
          <cell r="Y28">
            <v>3</v>
          </cell>
        </row>
        <row r="29">
          <cell r="J29" t="str">
            <v>Spain</v>
          </cell>
          <cell r="K29">
            <v>1085</v>
          </cell>
          <cell r="L29">
            <v>23</v>
          </cell>
          <cell r="M29">
            <v>2686</v>
          </cell>
          <cell r="N29">
            <v>3596</v>
          </cell>
          <cell r="O29">
            <v>206</v>
          </cell>
          <cell r="P29">
            <v>3308.6</v>
          </cell>
          <cell r="S29" t="str">
            <v>Spain</v>
          </cell>
          <cell r="T29">
            <v>228</v>
          </cell>
          <cell r="U29">
            <v>3.6</v>
          </cell>
          <cell r="V29">
            <v>356</v>
          </cell>
          <cell r="W29">
            <v>675.2</v>
          </cell>
          <cell r="X29">
            <v>8.2999999999999989</v>
          </cell>
          <cell r="Y29">
            <v>2160</v>
          </cell>
        </row>
        <row r="30">
          <cell r="J30" t="str">
            <v>Sweden</v>
          </cell>
          <cell r="K30">
            <v>1128</v>
          </cell>
          <cell r="L30">
            <v>128</v>
          </cell>
          <cell r="M30">
            <v>3032</v>
          </cell>
          <cell r="N30">
            <v>1728</v>
          </cell>
          <cell r="O30">
            <v>199.1</v>
          </cell>
          <cell r="P30">
            <v>1865.7</v>
          </cell>
          <cell r="S30" t="str">
            <v>Sweden</v>
          </cell>
          <cell r="T30">
            <v>67</v>
          </cell>
          <cell r="U30">
            <v>0</v>
          </cell>
          <cell r="V30">
            <v>16.7</v>
          </cell>
          <cell r="W30">
            <v>361.59999999999997</v>
          </cell>
          <cell r="X30">
            <v>1.9</v>
          </cell>
          <cell r="Y30">
            <v>341</v>
          </cell>
        </row>
        <row r="31">
          <cell r="J31" t="str">
            <v>United Kingdom</v>
          </cell>
          <cell r="K31">
            <v>5903</v>
          </cell>
          <cell r="L31">
            <v>330.7</v>
          </cell>
          <cell r="M31">
            <v>21364</v>
          </cell>
          <cell r="N31">
            <v>13460.4</v>
          </cell>
          <cell r="O31">
            <v>906.6</v>
          </cell>
          <cell r="P31">
            <v>18063.8</v>
          </cell>
          <cell r="S31" t="str">
            <v>United Kingdom</v>
          </cell>
          <cell r="T31">
            <v>2463</v>
          </cell>
          <cell r="U31">
            <v>11.1</v>
          </cell>
          <cell r="V31">
            <v>610</v>
          </cell>
          <cell r="W31">
            <v>2392.4</v>
          </cell>
          <cell r="X31">
            <v>25.700000000000003</v>
          </cell>
          <cell r="Y31">
            <v>3451</v>
          </cell>
        </row>
        <row r="67">
          <cell r="J67" t="str">
            <v>Austria</v>
          </cell>
          <cell r="K67">
            <v>347.49042131744739</v>
          </cell>
          <cell r="L67">
            <v>13.514852373210205</v>
          </cell>
          <cell r="M67">
            <v>674.30066961615603</v>
          </cell>
          <cell r="N67">
            <v>535.53658444268717</v>
          </cell>
          <cell r="O67">
            <v>103.87876132428615</v>
          </cell>
          <cell r="P67">
            <v>570.01419527595999</v>
          </cell>
          <cell r="S67" t="str">
            <v>Austria</v>
          </cell>
          <cell r="T67">
            <v>36.859660400499187</v>
          </cell>
          <cell r="U67">
            <v>0</v>
          </cell>
          <cell r="V67">
            <v>66.762450980550184</v>
          </cell>
          <cell r="W67">
            <v>97.582689339892951</v>
          </cell>
          <cell r="X67">
            <v>0.25871891668336039</v>
          </cell>
          <cell r="Y67">
            <v>85.031403574115146</v>
          </cell>
        </row>
        <row r="68">
          <cell r="J68" t="str">
            <v>Belgium</v>
          </cell>
          <cell r="K68">
            <v>0</v>
          </cell>
          <cell r="L68">
            <v>7.1358420530549882</v>
          </cell>
          <cell r="M68">
            <v>1908.4318686483778</v>
          </cell>
          <cell r="N68">
            <v>3795.8362303904751</v>
          </cell>
          <cell r="O68">
            <v>29.679646092653183</v>
          </cell>
          <cell r="P68">
            <v>4005.0704847897018</v>
          </cell>
          <cell r="S68" t="str">
            <v>Belgium</v>
          </cell>
          <cell r="T68">
            <v>0</v>
          </cell>
          <cell r="U68">
            <v>0</v>
          </cell>
          <cell r="V68">
            <v>412.17365427527091</v>
          </cell>
          <cell r="W68">
            <v>1054.5097754252856</v>
          </cell>
          <cell r="X68">
            <v>0</v>
          </cell>
          <cell r="Y68">
            <v>499.55949599792655</v>
          </cell>
        </row>
        <row r="69">
          <cell r="J69" t="str">
            <v>Bulgaria</v>
          </cell>
          <cell r="K69">
            <v>93.169632888340274</v>
          </cell>
          <cell r="L69">
            <v>2.054257560727951</v>
          </cell>
          <cell r="M69">
            <v>82.275413268814788</v>
          </cell>
          <cell r="N69">
            <v>64.735191526039117</v>
          </cell>
          <cell r="O69">
            <v>1.8549778807908239</v>
          </cell>
          <cell r="P69">
            <v>86.120984905820507</v>
          </cell>
          <cell r="S69" t="str">
            <v>Bulgaria</v>
          </cell>
          <cell r="T69">
            <v>0.93079950506311071</v>
          </cell>
          <cell r="U69">
            <v>1.5920172978468095E-2</v>
          </cell>
          <cell r="V69">
            <v>1.6439454413815369</v>
          </cell>
          <cell r="W69">
            <v>7.4604502553434981</v>
          </cell>
          <cell r="X69">
            <v>0</v>
          </cell>
          <cell r="Y69">
            <v>60.874754831468799</v>
          </cell>
        </row>
        <row r="70">
          <cell r="J70" t="str">
            <v>Croatia</v>
          </cell>
          <cell r="K70">
            <v>35.606229129302008</v>
          </cell>
          <cell r="L70">
            <v>2.1623763797136331</v>
          </cell>
          <cell r="M70">
            <v>67.966645743803525</v>
          </cell>
          <cell r="N70">
            <v>49.041811762150843</v>
          </cell>
          <cell r="O70">
            <v>0.37099557615816481</v>
          </cell>
          <cell r="P70">
            <v>151.3416963663386</v>
          </cell>
          <cell r="S70" t="str">
            <v>Croatia</v>
          </cell>
          <cell r="T70">
            <v>0</v>
          </cell>
          <cell r="U70">
            <v>0</v>
          </cell>
          <cell r="V70">
            <v>0.27399090689692279</v>
          </cell>
          <cell r="W70">
            <v>0</v>
          </cell>
          <cell r="X70">
            <v>0</v>
          </cell>
          <cell r="Y70">
            <v>22.224116843234643</v>
          </cell>
        </row>
        <row r="71">
          <cell r="J71" t="str">
            <v>Cyprus</v>
          </cell>
          <cell r="K71">
            <v>99.565566639344524</v>
          </cell>
          <cell r="L71">
            <v>0</v>
          </cell>
          <cell r="M71">
            <v>-389.91391505655702</v>
          </cell>
          <cell r="N71">
            <v>149.08710775693856</v>
          </cell>
          <cell r="O71">
            <v>150.25320834405673</v>
          </cell>
          <cell r="P71">
            <v>159.49428529890335</v>
          </cell>
          <cell r="S71" t="str">
            <v>Cyprus</v>
          </cell>
          <cell r="T71">
            <v>8.4702754960743079</v>
          </cell>
          <cell r="U71">
            <v>0</v>
          </cell>
          <cell r="V71">
            <v>48.861711729951232</v>
          </cell>
          <cell r="W71">
            <v>33.920180494295103</v>
          </cell>
          <cell r="X71">
            <v>0.43119819447226737</v>
          </cell>
          <cell r="Y71">
            <v>241.56648742646351</v>
          </cell>
        </row>
        <row r="72">
          <cell r="J72" t="str">
            <v>Czech Republic</v>
          </cell>
          <cell r="K72">
            <v>281.55295996688812</v>
          </cell>
          <cell r="L72">
            <v>4.3247527594272661</v>
          </cell>
          <cell r="M72">
            <v>415.84855619563996</v>
          </cell>
          <cell r="N72">
            <v>267.37595772724643</v>
          </cell>
          <cell r="O72">
            <v>29.586897198613642</v>
          </cell>
          <cell r="P72">
            <v>453.13571576091783</v>
          </cell>
          <cell r="S72" t="str">
            <v>Czech Republic</v>
          </cell>
          <cell r="T72">
            <v>3.7231980202524428</v>
          </cell>
          <cell r="U72">
            <v>6.3680691913872378E-2</v>
          </cell>
          <cell r="V72">
            <v>45.299829940291239</v>
          </cell>
          <cell r="W72">
            <v>40.385904048926136</v>
          </cell>
          <cell r="X72">
            <v>0.60367747226117419</v>
          </cell>
          <cell r="Y72">
            <v>88.896467372938574</v>
          </cell>
        </row>
        <row r="73">
          <cell r="J73" t="str">
            <v>Denmark</v>
          </cell>
          <cell r="K73">
            <v>385.7341489007718</v>
          </cell>
          <cell r="L73">
            <v>15.839406981402362</v>
          </cell>
          <cell r="M73">
            <v>1276.1632036369424</v>
          </cell>
          <cell r="N73">
            <v>449.2229957413017</v>
          </cell>
          <cell r="O73">
            <v>193.47419296648292</v>
          </cell>
          <cell r="P73">
            <v>1003.9542698229297</v>
          </cell>
          <cell r="S73" t="str">
            <v>Denmark</v>
          </cell>
          <cell r="T73">
            <v>12.93811312037724</v>
          </cell>
          <cell r="U73">
            <v>0</v>
          </cell>
          <cell r="V73">
            <v>12.146930205763578</v>
          </cell>
          <cell r="W73">
            <v>36.406997246076273</v>
          </cell>
          <cell r="X73">
            <v>0.43119819447226737</v>
          </cell>
          <cell r="Y73">
            <v>70.537414328527348</v>
          </cell>
        </row>
        <row r="74">
          <cell r="J74" t="str">
            <v>Estonia</v>
          </cell>
          <cell r="K74">
            <v>44.178099104874718</v>
          </cell>
          <cell r="L74">
            <v>0.16217822847852245</v>
          </cell>
          <cell r="M74">
            <v>37.560514753154578</v>
          </cell>
          <cell r="N74">
            <v>84.351916230899448</v>
          </cell>
          <cell r="O74">
            <v>14.097831894010261</v>
          </cell>
          <cell r="P74">
            <v>34.907903520345485</v>
          </cell>
          <cell r="S74" t="str">
            <v>Estonia</v>
          </cell>
          <cell r="T74">
            <v>2.792398515189332</v>
          </cell>
          <cell r="U74">
            <v>0</v>
          </cell>
          <cell r="V74">
            <v>1.6439454413815369</v>
          </cell>
          <cell r="W74">
            <v>0</v>
          </cell>
          <cell r="X74">
            <v>0</v>
          </cell>
          <cell r="Y74">
            <v>10.628925446764393</v>
          </cell>
        </row>
        <row r="75">
          <cell r="J75" t="str">
            <v>Finland</v>
          </cell>
          <cell r="K75">
            <v>230.12174011345189</v>
          </cell>
          <cell r="L75">
            <v>1.2974258278281796</v>
          </cell>
          <cell r="M75">
            <v>905.92384392727581</v>
          </cell>
          <cell r="N75">
            <v>622.83100937931567</v>
          </cell>
          <cell r="O75">
            <v>62.791001264769392</v>
          </cell>
          <cell r="P75">
            <v>752.78041625509366</v>
          </cell>
          <cell r="S75" t="str">
            <v>Finland</v>
          </cell>
          <cell r="T75">
            <v>6.1432767334165304</v>
          </cell>
          <cell r="U75">
            <v>0</v>
          </cell>
          <cell r="V75">
            <v>1.8266060459794853</v>
          </cell>
          <cell r="W75">
            <v>13.627755799760788</v>
          </cell>
          <cell r="X75">
            <v>0</v>
          </cell>
          <cell r="Y75">
            <v>171.99533904764201</v>
          </cell>
        </row>
        <row r="76">
          <cell r="J76" t="str">
            <v>France</v>
          </cell>
          <cell r="K76">
            <v>3339.0730427923222</v>
          </cell>
          <cell r="L76">
            <v>17.839605132637473</v>
          </cell>
          <cell r="M76">
            <v>5195.8712075197163</v>
          </cell>
          <cell r="N76">
            <v>8860.8745491854152</v>
          </cell>
          <cell r="O76">
            <v>320.81842448277297</v>
          </cell>
          <cell r="P76">
            <v>5255.0847114864046</v>
          </cell>
          <cell r="S76" t="str">
            <v>France</v>
          </cell>
          <cell r="T76">
            <v>253.17746537716613</v>
          </cell>
          <cell r="U76">
            <v>0</v>
          </cell>
          <cell r="V76">
            <v>174.44087739104086</v>
          </cell>
          <cell r="W76">
            <v>796.37819659040065</v>
          </cell>
          <cell r="X76">
            <v>2.8459080835169641</v>
          </cell>
          <cell r="Y76">
            <v>927.61531171761987</v>
          </cell>
        </row>
        <row r="77">
          <cell r="J77" t="str">
            <v>Germany (until 1990 former territory of the FRG)</v>
          </cell>
          <cell r="K77">
            <v>3447.2104794072393</v>
          </cell>
          <cell r="L77">
            <v>55.140597682697639</v>
          </cell>
          <cell r="M77">
            <v>9263.1383765041683</v>
          </cell>
          <cell r="N77">
            <v>15015.621925335345</v>
          </cell>
          <cell r="O77">
            <v>689.30978050187025</v>
          </cell>
          <cell r="P77">
            <v>8737.7224745883886</v>
          </cell>
          <cell r="S77" t="str">
            <v>Germany (until 1990 former territory of the FRG)</v>
          </cell>
          <cell r="T77">
            <v>615.44463274772886</v>
          </cell>
          <cell r="U77">
            <v>0</v>
          </cell>
          <cell r="V77">
            <v>308.69642177053305</v>
          </cell>
          <cell r="W77">
            <v>1705.9562917218798</v>
          </cell>
          <cell r="X77">
            <v>14.143300778690367</v>
          </cell>
          <cell r="Y77">
            <v>5220.7349262607295</v>
          </cell>
        </row>
        <row r="78">
          <cell r="J78" t="str">
            <v>Greece</v>
          </cell>
          <cell r="K78">
            <v>173.41552335197093</v>
          </cell>
          <cell r="L78">
            <v>47.031686258771515</v>
          </cell>
          <cell r="M78">
            <v>313.36200879774674</v>
          </cell>
          <cell r="N78">
            <v>196.16724704860337</v>
          </cell>
          <cell r="O78">
            <v>38.212544344290976</v>
          </cell>
          <cell r="P78">
            <v>331.1433395518124</v>
          </cell>
          <cell r="S78" t="str">
            <v>Greece</v>
          </cell>
          <cell r="T78">
            <v>1.396199257594666</v>
          </cell>
          <cell r="U78">
            <v>0</v>
          </cell>
          <cell r="V78">
            <v>9.0416999275984526</v>
          </cell>
          <cell r="W78">
            <v>3.0836527722086458</v>
          </cell>
          <cell r="X78">
            <v>0</v>
          </cell>
          <cell r="Y78">
            <v>39.616903937940016</v>
          </cell>
        </row>
        <row r="79">
          <cell r="J79" t="str">
            <v>Hungary</v>
          </cell>
          <cell r="K79">
            <v>168.14052644392618</v>
          </cell>
          <cell r="L79">
            <v>0.64871291391408981</v>
          </cell>
          <cell r="M79">
            <v>2011.7232842195529</v>
          </cell>
          <cell r="N79">
            <v>152.61811820381342</v>
          </cell>
          <cell r="O79">
            <v>11.315365072824026</v>
          </cell>
          <cell r="P79">
            <v>576.75860975653632</v>
          </cell>
          <cell r="S79" t="str">
            <v>Hungary</v>
          </cell>
          <cell r="T79">
            <v>1.5823591586072883</v>
          </cell>
          <cell r="U79">
            <v>0</v>
          </cell>
          <cell r="V79">
            <v>512.27166559494663</v>
          </cell>
          <cell r="W79">
            <v>20.491370034676809</v>
          </cell>
          <cell r="X79">
            <v>0</v>
          </cell>
          <cell r="Y79">
            <v>63.773552680586363</v>
          </cell>
        </row>
        <row r="80">
          <cell r="J80" t="str">
            <v>Ireland</v>
          </cell>
          <cell r="K80">
            <v>1996.5863296949351</v>
          </cell>
          <cell r="L80">
            <v>17.13683280923054</v>
          </cell>
          <cell r="M80">
            <v>0</v>
          </cell>
          <cell r="N80">
            <v>950.43031195048331</v>
          </cell>
          <cell r="O80">
            <v>299.57892774771807</v>
          </cell>
          <cell r="P80">
            <v>18684.325658986447</v>
          </cell>
          <cell r="S80" t="str">
            <v>Ireland</v>
          </cell>
          <cell r="T80">
            <v>96.337748774031965</v>
          </cell>
          <cell r="U80">
            <v>0.33432363254783004</v>
          </cell>
          <cell r="V80">
            <v>0</v>
          </cell>
          <cell r="W80">
            <v>732.01937905430395</v>
          </cell>
          <cell r="X80">
            <v>5.3468576114561142</v>
          </cell>
          <cell r="Y80">
            <v>4353.9943693745781</v>
          </cell>
        </row>
        <row r="81">
          <cell r="J81" t="str">
            <v>Italy</v>
          </cell>
          <cell r="K81">
            <v>980.49005028281658</v>
          </cell>
          <cell r="L81">
            <v>21.623763797136331</v>
          </cell>
          <cell r="M81">
            <v>4562.7082445379674</v>
          </cell>
          <cell r="N81">
            <v>8266.4877906281454</v>
          </cell>
          <cell r="O81">
            <v>182.52982346981707</v>
          </cell>
          <cell r="P81">
            <v>2418.1319918435502</v>
          </cell>
          <cell r="S81" t="str">
            <v>Italy</v>
          </cell>
          <cell r="T81">
            <v>264.06781958640448</v>
          </cell>
          <cell r="U81">
            <v>0.22288242169855343</v>
          </cell>
          <cell r="V81">
            <v>142.3839412841009</v>
          </cell>
          <cell r="W81">
            <v>630.25883757141855</v>
          </cell>
          <cell r="X81">
            <v>3.3633459168836852</v>
          </cell>
          <cell r="Y81">
            <v>777.84408951321245</v>
          </cell>
        </row>
        <row r="82">
          <cell r="J82" t="str">
            <v>Latvia</v>
          </cell>
          <cell r="K82">
            <v>24.330923238356377</v>
          </cell>
          <cell r="L82">
            <v>1.0811881898568165</v>
          </cell>
          <cell r="M82">
            <v>64.38945386255071</v>
          </cell>
          <cell r="N82">
            <v>68.658536467011174</v>
          </cell>
          <cell r="O82">
            <v>2.9679646092653185</v>
          </cell>
          <cell r="P82">
            <v>36.390192417175442</v>
          </cell>
          <cell r="S82" t="str">
            <v>Latvia</v>
          </cell>
          <cell r="T82">
            <v>0.74463960405048857</v>
          </cell>
          <cell r="U82">
            <v>0</v>
          </cell>
          <cell r="V82">
            <v>0</v>
          </cell>
          <cell r="W82">
            <v>3.1831254422798927</v>
          </cell>
          <cell r="X82">
            <v>0</v>
          </cell>
          <cell r="Y82">
            <v>0.966265949705854</v>
          </cell>
        </row>
        <row r="83">
          <cell r="J83" t="str">
            <v>Lithuania</v>
          </cell>
          <cell r="K83">
            <v>28.089358535338256</v>
          </cell>
          <cell r="L83">
            <v>1.0811881898568165</v>
          </cell>
          <cell r="M83">
            <v>64.38945386255071</v>
          </cell>
          <cell r="N83">
            <v>19.322473834287432</v>
          </cell>
          <cell r="O83">
            <v>1.1129867284744943</v>
          </cell>
          <cell r="P83">
            <v>65.517169239884097</v>
          </cell>
          <cell r="S83" t="str">
            <v>Lithuania</v>
          </cell>
          <cell r="T83">
            <v>2.1408388616451544</v>
          </cell>
          <cell r="U83">
            <v>0</v>
          </cell>
          <cell r="V83">
            <v>6.3017908586292251</v>
          </cell>
          <cell r="W83">
            <v>6.8636142349160183</v>
          </cell>
          <cell r="X83">
            <v>8.6239638894453477E-2</v>
          </cell>
          <cell r="Y83">
            <v>12.561457346176102</v>
          </cell>
        </row>
        <row r="84">
          <cell r="J84" t="str">
            <v>Luxembourg</v>
          </cell>
          <cell r="K84">
            <v>2746.2952652507943</v>
          </cell>
          <cell r="L84">
            <v>64.871291391408988</v>
          </cell>
          <cell r="M84">
            <v>-714.54407828025012</v>
          </cell>
          <cell r="N84">
            <v>0</v>
          </cell>
          <cell r="O84">
            <v>194.77267748303652</v>
          </cell>
          <cell r="P84">
            <v>1878.8011767319704</v>
          </cell>
          <cell r="S84" t="str">
            <v>Luxembourg</v>
          </cell>
          <cell r="T84">
            <v>340.67261885309853</v>
          </cell>
          <cell r="U84">
            <v>0</v>
          </cell>
          <cell r="V84">
            <v>1561.382848103264</v>
          </cell>
          <cell r="W84">
            <v>0</v>
          </cell>
          <cell r="X84">
            <v>1.2935945834168021</v>
          </cell>
          <cell r="Y84">
            <v>1022.3093747887935</v>
          </cell>
        </row>
        <row r="85">
          <cell r="J85" t="str">
            <v>Malta</v>
          </cell>
          <cell r="K85">
            <v>47.343097249701565</v>
          </cell>
          <cell r="L85">
            <v>3.7841586644988574</v>
          </cell>
          <cell r="M85">
            <v>102.84426658601848</v>
          </cell>
          <cell r="N85">
            <v>197.1480832838464</v>
          </cell>
          <cell r="O85">
            <v>0</v>
          </cell>
          <cell r="P85">
            <v>329.66105065498243</v>
          </cell>
          <cell r="S85" t="str">
            <v>Malta</v>
          </cell>
          <cell r="T85">
            <v>9.3079950506311071E-2</v>
          </cell>
          <cell r="U85">
            <v>0</v>
          </cell>
          <cell r="V85">
            <v>62.652587377096346</v>
          </cell>
          <cell r="W85">
            <v>0.29841801021373993</v>
          </cell>
          <cell r="X85">
            <v>0</v>
          </cell>
          <cell r="Y85">
            <v>3.865063798823416</v>
          </cell>
        </row>
        <row r="86">
          <cell r="J86" t="str">
            <v>Netherlands</v>
          </cell>
          <cell r="K86">
            <v>5261.150041161125</v>
          </cell>
          <cell r="L86">
            <v>21.083169702207922</v>
          </cell>
          <cell r="M86">
            <v>4723.6818791943442</v>
          </cell>
          <cell r="N86">
            <v>2315.8524350322868</v>
          </cell>
          <cell r="O86">
            <v>272.68174847625113</v>
          </cell>
          <cell r="P86">
            <v>0</v>
          </cell>
          <cell r="S86" t="str">
            <v>Netherlands</v>
          </cell>
          <cell r="T86">
            <v>240.33243220729517</v>
          </cell>
          <cell r="U86">
            <v>9.5521037870808567E-2</v>
          </cell>
          <cell r="V86">
            <v>3423.0597301655557</v>
          </cell>
          <cell r="W86">
            <v>533.67087493223823</v>
          </cell>
          <cell r="X86">
            <v>1.8972720556779765</v>
          </cell>
          <cell r="Y86">
            <v>0</v>
          </cell>
        </row>
        <row r="87">
          <cell r="J87" t="str">
            <v>Poland</v>
          </cell>
          <cell r="K87">
            <v>230.12174011345189</v>
          </cell>
          <cell r="L87">
            <v>3.7841586644988574</v>
          </cell>
          <cell r="M87">
            <v>1074.9461603164714</v>
          </cell>
          <cell r="N87">
            <v>535.53658444268717</v>
          </cell>
          <cell r="O87">
            <v>130.31219612555537</v>
          </cell>
          <cell r="P87">
            <v>825.26434331007852</v>
          </cell>
          <cell r="S87" t="str">
            <v>Poland</v>
          </cell>
          <cell r="T87">
            <v>79.21103788087072</v>
          </cell>
          <cell r="U87">
            <v>0</v>
          </cell>
          <cell r="V87">
            <v>27.125099782795356</v>
          </cell>
          <cell r="W87">
            <v>200.03953951327699</v>
          </cell>
          <cell r="X87">
            <v>0.68991711115562782</v>
          </cell>
          <cell r="Y87">
            <v>204.84838133764106</v>
          </cell>
        </row>
        <row r="88">
          <cell r="J88" t="str">
            <v>Portugal</v>
          </cell>
          <cell r="K88">
            <v>192.53738714363311</v>
          </cell>
          <cell r="L88">
            <v>1.0811881898568165</v>
          </cell>
          <cell r="M88">
            <v>567.87921114888468</v>
          </cell>
          <cell r="N88">
            <v>401.55435470849108</v>
          </cell>
          <cell r="O88">
            <v>30.607135033048596</v>
          </cell>
          <cell r="P88">
            <v>426.52863006282007</v>
          </cell>
          <cell r="S88" t="str">
            <v>Portugal</v>
          </cell>
          <cell r="T88">
            <v>27.365505448855455</v>
          </cell>
          <cell r="U88">
            <v>0</v>
          </cell>
          <cell r="V88">
            <v>45.66515114948713</v>
          </cell>
          <cell r="W88">
            <v>118.37247738478349</v>
          </cell>
          <cell r="X88">
            <v>0</v>
          </cell>
          <cell r="Y88">
            <v>395.20277342969428</v>
          </cell>
        </row>
        <row r="89">
          <cell r="J89" t="str">
            <v>Romania</v>
          </cell>
          <cell r="K89">
            <v>160.88740569536463</v>
          </cell>
          <cell r="L89">
            <v>5.2978221302984014</v>
          </cell>
          <cell r="M89">
            <v>125.20171584384859</v>
          </cell>
          <cell r="N89">
            <v>146.92926803940395</v>
          </cell>
          <cell r="O89">
            <v>2.7824668211862358</v>
          </cell>
          <cell r="P89">
            <v>311.42889722397393</v>
          </cell>
          <cell r="S89" t="str">
            <v>Romania</v>
          </cell>
          <cell r="T89">
            <v>6.2363566839228417</v>
          </cell>
          <cell r="U89">
            <v>0</v>
          </cell>
          <cell r="V89">
            <v>4.9318363241446104</v>
          </cell>
          <cell r="W89">
            <v>13.926173809974529</v>
          </cell>
          <cell r="X89">
            <v>0</v>
          </cell>
          <cell r="Y89">
            <v>192.28692399146496</v>
          </cell>
        </row>
        <row r="90">
          <cell r="J90" t="str">
            <v>Slovakia</v>
          </cell>
          <cell r="K90">
            <v>133.85304654163536</v>
          </cell>
          <cell r="L90">
            <v>2.1623763797136331</v>
          </cell>
          <cell r="M90">
            <v>89.429797031320419</v>
          </cell>
          <cell r="N90">
            <v>170.66550493228493</v>
          </cell>
          <cell r="O90">
            <v>9.1821405099145785</v>
          </cell>
          <cell r="P90">
            <v>117.69373840829859</v>
          </cell>
          <cell r="S90" t="str">
            <v>Slovakia</v>
          </cell>
          <cell r="T90">
            <v>15.916671536579194</v>
          </cell>
          <cell r="U90">
            <v>0</v>
          </cell>
          <cell r="V90">
            <v>20.092666505774339</v>
          </cell>
          <cell r="W90">
            <v>52.223151787404483</v>
          </cell>
          <cell r="X90">
            <v>0</v>
          </cell>
          <cell r="Y90">
            <v>27.055446591763911</v>
          </cell>
        </row>
        <row r="91">
          <cell r="J91" t="str">
            <v>Slovenia</v>
          </cell>
          <cell r="K91">
            <v>34.287479902290826</v>
          </cell>
          <cell r="L91">
            <v>2.1623763797136331</v>
          </cell>
          <cell r="M91">
            <v>83.169711239127992</v>
          </cell>
          <cell r="N91">
            <v>31.38675952777654</v>
          </cell>
          <cell r="O91">
            <v>0.83474004635587074</v>
          </cell>
          <cell r="P91">
            <v>56.178749189855367</v>
          </cell>
          <cell r="S91" t="str">
            <v>Slovenia</v>
          </cell>
          <cell r="T91">
            <v>4.1885977727839983</v>
          </cell>
          <cell r="U91">
            <v>0</v>
          </cell>
          <cell r="V91">
            <v>0.18266060459794856</v>
          </cell>
          <cell r="W91">
            <v>17.507189932539411</v>
          </cell>
          <cell r="X91">
            <v>0</v>
          </cell>
          <cell r="Y91">
            <v>2.8987978491175621</v>
          </cell>
        </row>
        <row r="92">
          <cell r="J92" t="str">
            <v>Spain</v>
          </cell>
          <cell r="K92">
            <v>715.42145565356827</v>
          </cell>
          <cell r="L92">
            <v>12.43366418335339</v>
          </cell>
          <cell r="M92">
            <v>2402.0843482612663</v>
          </cell>
          <cell r="N92">
            <v>3527.0871019338888</v>
          </cell>
          <cell r="O92">
            <v>191.06272172145486</v>
          </cell>
          <cell r="P92">
            <v>2452.1505220257977</v>
          </cell>
          <cell r="S92" t="str">
            <v>Spain</v>
          </cell>
          <cell r="T92">
            <v>212.22228715438925</v>
          </cell>
          <cell r="U92">
            <v>0.57312622722485163</v>
          </cell>
          <cell r="V92">
            <v>325.13587618434838</v>
          </cell>
          <cell r="W92">
            <v>671.63946832105739</v>
          </cell>
          <cell r="X92">
            <v>7.1578900282396365</v>
          </cell>
          <cell r="Y92">
            <v>2087.1344513646445</v>
          </cell>
        </row>
        <row r="93">
          <cell r="J93" t="str">
            <v>Sweden</v>
          </cell>
          <cell r="K93">
            <v>743.7745640343087</v>
          </cell>
          <cell r="L93">
            <v>69.196044150836258</v>
          </cell>
          <cell r="M93">
            <v>2711.5114459896349</v>
          </cell>
          <cell r="N93">
            <v>1694.885014499933</v>
          </cell>
          <cell r="O93">
            <v>184.66304803272652</v>
          </cell>
          <cell r="P93">
            <v>1382.7531974078254</v>
          </cell>
          <cell r="S93" t="str">
            <v>Sweden</v>
          </cell>
          <cell r="T93">
            <v>62.363566839228419</v>
          </cell>
          <cell r="U93">
            <v>0</v>
          </cell>
          <cell r="V93">
            <v>15.252160483928701</v>
          </cell>
          <cell r="W93">
            <v>359.69317497762779</v>
          </cell>
          <cell r="X93">
            <v>1.6385531389946157</v>
          </cell>
          <cell r="Y93">
            <v>329.49668884969623</v>
          </cell>
        </row>
        <row r="94">
          <cell r="J94" t="str">
            <v>United Kingdom</v>
          </cell>
          <cell r="K94">
            <v>3892.2883435235144</v>
          </cell>
          <cell r="L94">
            <v>178.7744671928246</v>
          </cell>
          <cell r="M94">
            <v>19105.781837771294</v>
          </cell>
          <cell r="N94">
            <v>13202.448060865105</v>
          </cell>
          <cell r="O94">
            <v>840.86147336248052</v>
          </cell>
          <cell r="P94">
            <v>13387.885087278488</v>
          </cell>
          <cell r="S94" t="str">
            <v>United Kingdom</v>
          </cell>
          <cell r="T94">
            <v>2292.559180970442</v>
          </cell>
          <cell r="U94">
            <v>1.7671392006099591</v>
          </cell>
          <cell r="V94">
            <v>557.11484402374299</v>
          </cell>
          <cell r="W94">
            <v>2379.7841587845046</v>
          </cell>
          <cell r="X94">
            <v>22.163587195874545</v>
          </cell>
          <cell r="Y94">
            <v>3334.5837924349021</v>
          </cell>
        </row>
        <row r="95">
          <cell r="S95" t="str">
            <v>Total</v>
          </cell>
          <cell r="T95">
            <v>4587.9107604560731</v>
          </cell>
          <cell r="U95">
            <v>3.0725933848443425</v>
          </cell>
          <cell r="V95">
            <v>7786.3649224990513</v>
          </cell>
          <cell r="W95">
            <v>9529.2828474852868</v>
          </cell>
          <cell r="X95">
            <v>62.351258920689858</v>
          </cell>
          <cell r="Y95">
            <v>20248.102976086171</v>
          </cell>
        </row>
        <row r="96">
          <cell r="S96" t="str">
            <v>EU22</v>
          </cell>
          <cell r="T96">
            <v>3902.004605175066</v>
          </cell>
          <cell r="U96">
            <v>2.6427487144257036</v>
          </cell>
          <cell r="V96">
            <v>2278.2343908479129</v>
          </cell>
          <cell r="W96">
            <v>7174.8642195689499</v>
          </cell>
          <cell r="X96">
            <v>53.38233647566669</v>
          </cell>
          <cell r="Y96">
            <v>14126.808184699585</v>
          </cell>
        </row>
        <row r="97">
          <cell r="S97" t="str">
            <v>EU6</v>
          </cell>
          <cell r="T97">
            <v>685.90615528100682</v>
          </cell>
          <cell r="U97">
            <v>0.42984467041863894</v>
          </cell>
          <cell r="V97">
            <v>5508.130531651138</v>
          </cell>
          <cell r="W97">
            <v>2354.4186279163364</v>
          </cell>
          <cell r="X97">
            <v>8.9689224450231659</v>
          </cell>
          <cell r="Y97">
            <v>6121.2947913865855</v>
          </cell>
        </row>
      </sheetData>
      <sheetData sheetId="50">
        <row r="4">
          <cell r="F4" t="str">
            <v>Austria</v>
          </cell>
          <cell r="G4">
            <v>399</v>
          </cell>
          <cell r="H4">
            <v>1259</v>
          </cell>
          <cell r="K4" t="str">
            <v>Austria</v>
          </cell>
          <cell r="L4">
            <v>1.5</v>
          </cell>
          <cell r="M4">
            <v>48.900000000000006</v>
          </cell>
        </row>
        <row r="5">
          <cell r="F5" t="str">
            <v>Belgium</v>
          </cell>
          <cell r="G5">
            <v>1121</v>
          </cell>
          <cell r="H5">
            <v>2027</v>
          </cell>
          <cell r="K5" t="str">
            <v>Belgium</v>
          </cell>
          <cell r="L5">
            <v>12.6</v>
          </cell>
          <cell r="M5">
            <v>640.29999999999995</v>
          </cell>
        </row>
        <row r="6">
          <cell r="F6" t="str">
            <v>Bulgaria</v>
          </cell>
          <cell r="G6">
            <v>18.600000000000001</v>
          </cell>
          <cell r="H6">
            <v>53.2</v>
          </cell>
          <cell r="K6" t="str">
            <v>Bulgaria</v>
          </cell>
          <cell r="L6">
            <v>17.3</v>
          </cell>
          <cell r="M6">
            <v>12.1</v>
          </cell>
        </row>
        <row r="7">
          <cell r="F7" t="str">
            <v>Croatia</v>
          </cell>
          <cell r="G7">
            <v>58.8</v>
          </cell>
          <cell r="H7">
            <v>62.7</v>
          </cell>
          <cell r="K7" t="str">
            <v>Croatia</v>
          </cell>
          <cell r="L7">
            <v>2.5999999999999996</v>
          </cell>
          <cell r="M7">
            <v>10.4</v>
          </cell>
        </row>
        <row r="8">
          <cell r="F8" t="str">
            <v>Cyprus</v>
          </cell>
          <cell r="G8">
            <v>252</v>
          </cell>
          <cell r="H8">
            <v>78</v>
          </cell>
          <cell r="K8" t="str">
            <v>Cyprus</v>
          </cell>
          <cell r="L8">
            <v>487</v>
          </cell>
          <cell r="M8">
            <v>38.5</v>
          </cell>
        </row>
        <row r="9">
          <cell r="F9" t="str">
            <v>Czech Republic</v>
          </cell>
          <cell r="G9">
            <v>57.9</v>
          </cell>
          <cell r="H9">
            <v>314.5</v>
          </cell>
          <cell r="K9" t="str">
            <v>Czech Republic</v>
          </cell>
          <cell r="L9">
            <v>0</v>
          </cell>
          <cell r="M9">
            <v>17.5</v>
          </cell>
        </row>
        <row r="10">
          <cell r="F10" t="str">
            <v>Denmark</v>
          </cell>
          <cell r="G10">
            <v>328.5</v>
          </cell>
          <cell r="H10">
            <v>346.1</v>
          </cell>
          <cell r="K10" t="str">
            <v>Denmark</v>
          </cell>
          <cell r="L10">
            <v>22.6</v>
          </cell>
          <cell r="M10">
            <v>48</v>
          </cell>
        </row>
        <row r="11">
          <cell r="F11" t="str">
            <v>Estonia</v>
          </cell>
          <cell r="G11">
            <v>30.2</v>
          </cell>
          <cell r="H11">
            <v>33.4</v>
          </cell>
          <cell r="K11" t="str">
            <v>Estonia</v>
          </cell>
          <cell r="L11">
            <v>1.4</v>
          </cell>
          <cell r="M11">
            <v>1.3</v>
          </cell>
        </row>
        <row r="12">
          <cell r="F12" t="str">
            <v>Finland</v>
          </cell>
          <cell r="G12">
            <v>435</v>
          </cell>
          <cell r="H12">
            <v>392</v>
          </cell>
          <cell r="K12" t="str">
            <v>Finland</v>
          </cell>
          <cell r="L12">
            <v>50</v>
          </cell>
          <cell r="M12">
            <v>4</v>
          </cell>
        </row>
        <row r="13">
          <cell r="F13" t="str">
            <v>France</v>
          </cell>
          <cell r="G13">
            <v>3343</v>
          </cell>
          <cell r="H13">
            <v>5731</v>
          </cell>
          <cell r="K13" t="str">
            <v>France</v>
          </cell>
          <cell r="L13">
            <v>115</v>
          </cell>
          <cell r="M13">
            <v>251</v>
          </cell>
        </row>
        <row r="14">
          <cell r="F14" t="str">
            <v>Germany (until 1990 former territory of the FRG)</v>
          </cell>
          <cell r="G14">
            <v>4398</v>
          </cell>
          <cell r="H14">
            <v>8791</v>
          </cell>
          <cell r="K14" t="str">
            <v>Germany (until 1990 former territory of the FRG)</v>
          </cell>
          <cell r="L14">
            <v>686</v>
          </cell>
          <cell r="M14">
            <v>475</v>
          </cell>
        </row>
        <row r="15">
          <cell r="F15" t="str">
            <v>Greece</v>
          </cell>
          <cell r="G15">
            <v>27.4</v>
          </cell>
          <cell r="H15">
            <v>128.1</v>
          </cell>
          <cell r="K15" t="str">
            <v>Greece</v>
          </cell>
          <cell r="L15">
            <v>1</v>
          </cell>
          <cell r="M15">
            <v>3.1</v>
          </cell>
        </row>
        <row r="16">
          <cell r="F16" t="str">
            <v>Hungary</v>
          </cell>
          <cell r="G16">
            <v>312.5</v>
          </cell>
          <cell r="H16">
            <v>260.3</v>
          </cell>
          <cell r="K16" t="str">
            <v>Hungary</v>
          </cell>
          <cell r="L16">
            <v>192</v>
          </cell>
          <cell r="M16">
            <v>33.700000000000003</v>
          </cell>
        </row>
        <row r="17">
          <cell r="F17" t="str">
            <v>Ireland</v>
          </cell>
          <cell r="G17">
            <v>38792</v>
          </cell>
          <cell r="H17">
            <v>4002</v>
          </cell>
          <cell r="K17" t="str">
            <v>Ireland</v>
          </cell>
          <cell r="L17">
            <v>93</v>
          </cell>
          <cell r="M17">
            <v>170.2</v>
          </cell>
        </row>
        <row r="18">
          <cell r="F18" t="str">
            <v>Italy</v>
          </cell>
          <cell r="G18">
            <v>937.4</v>
          </cell>
          <cell r="H18">
            <v>2519.6</v>
          </cell>
          <cell r="K18" t="str">
            <v>Italy</v>
          </cell>
          <cell r="L18">
            <v>36.900000000000006</v>
          </cell>
          <cell r="M18">
            <v>320.40000000000003</v>
          </cell>
        </row>
        <row r="19">
          <cell r="F19" t="str">
            <v>Latvia</v>
          </cell>
          <cell r="G19">
            <v>50</v>
          </cell>
          <cell r="H19">
            <v>32</v>
          </cell>
          <cell r="K19" t="str">
            <v>Latvia</v>
          </cell>
          <cell r="L19">
            <v>0</v>
          </cell>
          <cell r="M19">
            <v>0</v>
          </cell>
        </row>
        <row r="20">
          <cell r="F20" t="str">
            <v>Lithuania</v>
          </cell>
          <cell r="G20">
            <v>63.8</v>
          </cell>
          <cell r="H20">
            <v>32.5</v>
          </cell>
          <cell r="K20" t="str">
            <v>Lithuania</v>
          </cell>
          <cell r="L20">
            <v>0</v>
          </cell>
          <cell r="M20">
            <v>3.9</v>
          </cell>
        </row>
        <row r="21">
          <cell r="F21" t="str">
            <v>Luxembourg</v>
          </cell>
          <cell r="G21">
            <v>7131</v>
          </cell>
          <cell r="H21">
            <v>3977</v>
          </cell>
          <cell r="K21" t="str">
            <v>Luxembourg</v>
          </cell>
          <cell r="L21">
            <v>7746</v>
          </cell>
          <cell r="M21">
            <v>1083.5</v>
          </cell>
        </row>
        <row r="22">
          <cell r="F22" t="str">
            <v>Malta</v>
          </cell>
          <cell r="G22">
            <v>284.60000000000002</v>
          </cell>
          <cell r="H22">
            <v>100.1</v>
          </cell>
          <cell r="K22" t="str">
            <v>Malta</v>
          </cell>
          <cell r="L22">
            <v>27.4</v>
          </cell>
          <cell r="M22">
            <v>33.200000000000003</v>
          </cell>
        </row>
        <row r="23">
          <cell r="F23" t="str">
            <v>Netherlands</v>
          </cell>
          <cell r="G23">
            <v>27688.799999999999</v>
          </cell>
          <cell r="H23">
            <v>12413.5</v>
          </cell>
          <cell r="K23" t="str">
            <v>Netherlands</v>
          </cell>
          <cell r="L23">
            <v>8786</v>
          </cell>
          <cell r="M23">
            <v>1864</v>
          </cell>
        </row>
        <row r="24">
          <cell r="F24" t="str">
            <v>Poland</v>
          </cell>
          <cell r="G24">
            <v>143.69999999999999</v>
          </cell>
          <cell r="H24">
            <v>1029.8</v>
          </cell>
          <cell r="K24" t="str">
            <v>Poland</v>
          </cell>
          <cell r="L24">
            <v>11.200000000000001</v>
          </cell>
          <cell r="M24">
            <v>56.5</v>
          </cell>
        </row>
        <row r="25">
          <cell r="F25" t="str">
            <v>Portugal</v>
          </cell>
          <cell r="G25">
            <v>91</v>
          </cell>
          <cell r="H25">
            <v>293</v>
          </cell>
          <cell r="K25" t="str">
            <v>Portugal</v>
          </cell>
          <cell r="L25">
            <v>0</v>
          </cell>
          <cell r="M25">
            <v>34.1</v>
          </cell>
        </row>
        <row r="26">
          <cell r="F26" t="str">
            <v>Romania</v>
          </cell>
          <cell r="G26">
            <v>43</v>
          </cell>
          <cell r="H26">
            <v>320.8</v>
          </cell>
          <cell r="K26" t="str">
            <v>Romania</v>
          </cell>
          <cell r="L26">
            <v>3</v>
          </cell>
          <cell r="M26">
            <v>31.4</v>
          </cell>
        </row>
        <row r="27">
          <cell r="F27" t="str">
            <v>Slovakia</v>
          </cell>
          <cell r="G27">
            <v>26.3</v>
          </cell>
          <cell r="H27">
            <v>72.8</v>
          </cell>
          <cell r="K27" t="str">
            <v>Slovakia</v>
          </cell>
          <cell r="L27">
            <v>2.8</v>
          </cell>
          <cell r="M27">
            <v>15.7</v>
          </cell>
        </row>
        <row r="28">
          <cell r="F28" t="str">
            <v>Slovenia</v>
          </cell>
          <cell r="G28">
            <v>30.5</v>
          </cell>
          <cell r="H28">
            <v>113.9</v>
          </cell>
          <cell r="K28" t="str">
            <v>Slovenia</v>
          </cell>
          <cell r="L28">
            <v>2.1</v>
          </cell>
          <cell r="M28">
            <v>3.2</v>
          </cell>
        </row>
        <row r="29">
          <cell r="F29" t="str">
            <v>Spain</v>
          </cell>
          <cell r="G29">
            <v>1506.4</v>
          </cell>
          <cell r="H29">
            <v>1647.1</v>
          </cell>
          <cell r="K29" t="str">
            <v>Spain</v>
          </cell>
          <cell r="L29">
            <v>25.8</v>
          </cell>
          <cell r="M29">
            <v>316.20000000000005</v>
          </cell>
        </row>
        <row r="30">
          <cell r="F30" t="str">
            <v>Sweden</v>
          </cell>
          <cell r="G30">
            <v>1180.5999999999999</v>
          </cell>
          <cell r="H30">
            <v>693.5</v>
          </cell>
          <cell r="K30" t="str">
            <v>Sweden</v>
          </cell>
          <cell r="L30">
            <v>16.5</v>
          </cell>
          <cell r="M30">
            <v>13.7</v>
          </cell>
        </row>
        <row r="31">
          <cell r="F31" t="str">
            <v>United Kingdom</v>
          </cell>
          <cell r="G31">
            <v>15656.7</v>
          </cell>
          <cell r="H31">
            <v>4815.3</v>
          </cell>
          <cell r="K31" t="str">
            <v>United Kingdom</v>
          </cell>
          <cell r="L31">
            <v>415</v>
          </cell>
          <cell r="M31">
            <v>435.1</v>
          </cell>
        </row>
        <row r="59">
          <cell r="F59" t="str">
            <v>Austria</v>
          </cell>
          <cell r="G59">
            <v>347.97994515549675</v>
          </cell>
          <cell r="H59">
            <v>1171.2937418085178</v>
          </cell>
          <cell r="K59" t="str">
            <v>Austria</v>
          </cell>
          <cell r="L59">
            <v>1.4431004661678013</v>
          </cell>
          <cell r="M59">
            <v>46.294458825453759</v>
          </cell>
        </row>
        <row r="60">
          <cell r="F60" t="str">
            <v>Belgium</v>
          </cell>
          <cell r="G60">
            <v>977.6579411511575</v>
          </cell>
          <cell r="H60">
            <v>1885.7922276774152</v>
          </cell>
          <cell r="K60" t="str">
            <v>Belgium</v>
          </cell>
          <cell r="L60">
            <v>12.122043915809531</v>
          </cell>
          <cell r="M60">
            <v>606.18286269811938</v>
          </cell>
        </row>
        <row r="61">
          <cell r="F61" t="str">
            <v>Bulgaria</v>
          </cell>
          <cell r="G61">
            <v>16.221621503489324</v>
          </cell>
          <cell r="H61">
            <v>49.493905531543412</v>
          </cell>
          <cell r="K61" t="str">
            <v>Bulgaria</v>
          </cell>
          <cell r="L61">
            <v>16.643758709801975</v>
          </cell>
          <cell r="M61">
            <v>11.455275087688966</v>
          </cell>
        </row>
        <row r="62">
          <cell r="F62" t="str">
            <v>Croatia</v>
          </cell>
          <cell r="G62">
            <v>51.281255075546881</v>
          </cell>
          <cell r="H62">
            <v>58.332102947890448</v>
          </cell>
          <cell r="K62" t="str">
            <v>Croatia</v>
          </cell>
          <cell r="L62">
            <v>2.5013741413575219</v>
          </cell>
          <cell r="M62">
            <v>9.8458562737161373</v>
          </cell>
        </row>
        <row r="63">
          <cell r="F63" t="str">
            <v>Cyprus</v>
          </cell>
          <cell r="G63">
            <v>219.77680746662952</v>
          </cell>
          <cell r="H63">
            <v>72.566252471059883</v>
          </cell>
          <cell r="K63" t="str">
            <v>Cyprus</v>
          </cell>
          <cell r="L63">
            <v>468.52661801581286</v>
          </cell>
          <cell r="M63">
            <v>36.448602551737622</v>
          </cell>
        </row>
        <row r="64">
          <cell r="F64" t="str">
            <v>Czech Republic</v>
          </cell>
          <cell r="G64">
            <v>50.496337906023207</v>
          </cell>
          <cell r="H64">
            <v>292.59085130959403</v>
          </cell>
          <cell r="K64" t="str">
            <v>Czech Republic</v>
          </cell>
          <cell r="L64">
            <v>0</v>
          </cell>
          <cell r="M64">
            <v>16.567546614426192</v>
          </cell>
        </row>
        <row r="65">
          <cell r="F65" t="str">
            <v>Denmark</v>
          </cell>
          <cell r="G65">
            <v>286.49476687614202</v>
          </cell>
          <cell r="H65">
            <v>321.98948692607473</v>
          </cell>
          <cell r="K65" t="str">
            <v>Denmark</v>
          </cell>
          <cell r="L65">
            <v>21.742713690261542</v>
          </cell>
          <cell r="M65">
            <v>45.442413570997552</v>
          </cell>
        </row>
        <row r="66">
          <cell r="F66" t="str">
            <v>Estonia</v>
          </cell>
          <cell r="G66">
            <v>26.338331688461157</v>
          </cell>
          <cell r="H66">
            <v>31.073241442735899</v>
          </cell>
          <cell r="K66" t="str">
            <v>Estonia</v>
          </cell>
          <cell r="L66">
            <v>1.3468937684232811</v>
          </cell>
          <cell r="M66">
            <v>1.2307320342145172</v>
          </cell>
        </row>
        <row r="67">
          <cell r="F67" t="str">
            <v>Finland</v>
          </cell>
          <cell r="G67">
            <v>379.3766319364438</v>
          </cell>
          <cell r="H67">
            <v>364.69193549558298</v>
          </cell>
          <cell r="K67" t="str">
            <v>Finland</v>
          </cell>
          <cell r="L67">
            <v>48.103348872260042</v>
          </cell>
          <cell r="M67">
            <v>3.7868677975831293</v>
          </cell>
        </row>
        <row r="68">
          <cell r="F68" t="str">
            <v>France</v>
          </cell>
          <cell r="G68">
            <v>2915.5312196862797</v>
          </cell>
          <cell r="H68">
            <v>5331.7588834826174</v>
          </cell>
          <cell r="K68" t="str">
            <v>France</v>
          </cell>
          <cell r="L68">
            <v>110.6377024061981</v>
          </cell>
          <cell r="M68">
            <v>237.62595429834136</v>
          </cell>
        </row>
        <row r="69">
          <cell r="F69" t="str">
            <v>Germany (until 1990 former territory of the FRG)</v>
          </cell>
          <cell r="G69">
            <v>3835.6285684057007</v>
          </cell>
          <cell r="H69">
            <v>8178.5887881165054</v>
          </cell>
          <cell r="K69" t="str">
            <v>Germany (until 1990 former territory of the FRG)</v>
          </cell>
          <cell r="L69">
            <v>659.97794652740777</v>
          </cell>
          <cell r="M69">
            <v>449.69055096299661</v>
          </cell>
        </row>
        <row r="70">
          <cell r="F70" t="str">
            <v>Greece</v>
          </cell>
          <cell r="G70">
            <v>23.896367161054158</v>
          </cell>
          <cell r="H70">
            <v>119.17611463516373</v>
          </cell>
          <cell r="K70" t="str">
            <v>Greece</v>
          </cell>
          <cell r="L70">
            <v>0.96206697744520087</v>
          </cell>
          <cell r="M70">
            <v>2.9348225431269253</v>
          </cell>
        </row>
        <row r="71">
          <cell r="F71" t="str">
            <v>Hungary</v>
          </cell>
          <cell r="G71">
            <v>272.54068386238777</v>
          </cell>
          <cell r="H71">
            <v>242.16660920790883</v>
          </cell>
          <cell r="K71" t="str">
            <v>Hungary</v>
          </cell>
          <cell r="L71">
            <v>184.71685966947857</v>
          </cell>
          <cell r="M71">
            <v>31.904361194637868</v>
          </cell>
        </row>
        <row r="72">
          <cell r="F72" t="str">
            <v>Ireland</v>
          </cell>
          <cell r="G72">
            <v>33831.674266847192</v>
          </cell>
          <cell r="H72">
            <v>3723.2069537074572</v>
          </cell>
          <cell r="K72" t="str">
            <v>Ireland</v>
          </cell>
          <cell r="L72">
            <v>89.472228902403685</v>
          </cell>
          <cell r="M72">
            <v>161.13122478716215</v>
          </cell>
        </row>
        <row r="73">
          <cell r="F73" t="str">
            <v>Italy</v>
          </cell>
          <cell r="G73">
            <v>817.53483856832736</v>
          </cell>
          <cell r="H73">
            <v>2344.0760221292626</v>
          </cell>
          <cell r="K73" t="str">
            <v>Italy</v>
          </cell>
          <cell r="L73">
            <v>35.50027146772792</v>
          </cell>
          <cell r="M73">
            <v>303.32811058640868</v>
          </cell>
        </row>
        <row r="74">
          <cell r="F74" t="str">
            <v>Latvia</v>
          </cell>
          <cell r="G74">
            <v>43.606509417982046</v>
          </cell>
          <cell r="H74">
            <v>29.770770244537388</v>
          </cell>
          <cell r="K74" t="str">
            <v>Latvia</v>
          </cell>
          <cell r="L74">
            <v>0</v>
          </cell>
          <cell r="M74">
            <v>0</v>
          </cell>
        </row>
        <row r="75">
          <cell r="F75" t="str">
            <v>Lithuania</v>
          </cell>
          <cell r="G75">
            <v>55.641906017345086</v>
          </cell>
          <cell r="H75">
            <v>30.235938529608283</v>
          </cell>
          <cell r="K75" t="str">
            <v>Lithuania</v>
          </cell>
          <cell r="L75">
            <v>0</v>
          </cell>
          <cell r="M75">
            <v>3.692196102643551</v>
          </cell>
        </row>
        <row r="76">
          <cell r="F76" t="str">
            <v>Luxembourg</v>
          </cell>
          <cell r="G76">
            <v>6219.1603731925998</v>
          </cell>
          <cell r="H76">
            <v>3699.9485394539124</v>
          </cell>
          <cell r="K76" t="str">
            <v>Luxembourg</v>
          </cell>
          <cell r="L76">
            <v>7452.1708072905258</v>
          </cell>
          <cell r="M76">
            <v>1025.7678146703302</v>
          </cell>
        </row>
        <row r="77">
          <cell r="F77" t="str">
            <v>Malta</v>
          </cell>
          <cell r="G77">
            <v>248.20825160715384</v>
          </cell>
          <cell r="H77">
            <v>93.126690671193515</v>
          </cell>
          <cell r="K77" t="str">
            <v>Malta</v>
          </cell>
          <cell r="L77">
            <v>26.360635181998504</v>
          </cell>
          <cell r="M77">
            <v>31.431002719939976</v>
          </cell>
        </row>
        <row r="78">
          <cell r="F78" t="str">
            <v>Netherlands</v>
          </cell>
          <cell r="G78">
            <v>24148.238359452425</v>
          </cell>
          <cell r="H78">
            <v>11548.733013455152</v>
          </cell>
          <cell r="K78" t="str">
            <v>Netherlands</v>
          </cell>
          <cell r="L78">
            <v>8452.7204638335352</v>
          </cell>
          <cell r="M78">
            <v>1764.6803936737383</v>
          </cell>
        </row>
        <row r="79">
          <cell r="F79" t="str">
            <v>Poland</v>
          </cell>
          <cell r="G79">
            <v>125.32510806728038</v>
          </cell>
          <cell r="H79">
            <v>958.06059993201882</v>
          </cell>
          <cell r="K79" t="str">
            <v>Poland</v>
          </cell>
          <cell r="L79">
            <v>10.775150147386251</v>
          </cell>
          <cell r="M79">
            <v>53.489507640861703</v>
          </cell>
        </row>
        <row r="80">
          <cell r="F80" t="str">
            <v>Portugal</v>
          </cell>
          <cell r="G80">
            <v>79.36384714072733</v>
          </cell>
          <cell r="H80">
            <v>272.58861505154545</v>
          </cell>
          <cell r="K80" t="str">
            <v>Portugal</v>
          </cell>
          <cell r="L80">
            <v>0</v>
          </cell>
          <cell r="M80">
            <v>32.283047974396176</v>
          </cell>
        </row>
        <row r="81">
          <cell r="F81" t="str">
            <v>Romania</v>
          </cell>
          <cell r="G81">
            <v>37.501598099464559</v>
          </cell>
          <cell r="H81">
            <v>298.45197170148731</v>
          </cell>
          <cell r="K81" t="str">
            <v>Romania</v>
          </cell>
          <cell r="L81">
            <v>2.8862009323356026</v>
          </cell>
          <cell r="M81">
            <v>29.726912211027564</v>
          </cell>
        </row>
        <row r="82">
          <cell r="F82" t="str">
            <v>Slovakia</v>
          </cell>
          <cell r="G82">
            <v>22.937023953858557</v>
          </cell>
          <cell r="H82">
            <v>67.728502306322554</v>
          </cell>
          <cell r="K82" t="str">
            <v>Slovakia</v>
          </cell>
          <cell r="L82">
            <v>2.6937875368465622</v>
          </cell>
          <cell r="M82">
            <v>14.863456105513782</v>
          </cell>
        </row>
        <row r="83">
          <cell r="F83" t="str">
            <v>Slovenia</v>
          </cell>
          <cell r="G83">
            <v>26.599970744969049</v>
          </cell>
          <cell r="H83">
            <v>105.96533533915027</v>
          </cell>
          <cell r="K83" t="str">
            <v>Slovenia</v>
          </cell>
          <cell r="L83">
            <v>2.0203406526349221</v>
          </cell>
          <cell r="M83">
            <v>3.0294942380665035</v>
          </cell>
        </row>
        <row r="84">
          <cell r="F84" t="str">
            <v>Spain</v>
          </cell>
          <cell r="G84">
            <v>1313.7769157449632</v>
          </cell>
          <cell r="H84">
            <v>1532.3573646805478</v>
          </cell>
          <cell r="K84" t="str">
            <v>Spain</v>
          </cell>
          <cell r="L84">
            <v>24.821328018086184</v>
          </cell>
          <cell r="M84">
            <v>299.35189939894644</v>
          </cell>
        </row>
        <row r="85">
          <cell r="F85" t="str">
            <v>Sweden</v>
          </cell>
          <cell r="G85">
            <v>1029.6369003773921</v>
          </cell>
          <cell r="H85">
            <v>645.18841139333369</v>
          </cell>
          <cell r="K85" t="str">
            <v>Sweden</v>
          </cell>
          <cell r="L85">
            <v>15.874105127845814</v>
          </cell>
          <cell r="M85">
            <v>12.970022206722218</v>
          </cell>
        </row>
        <row r="86">
          <cell r="F86" t="str">
            <v>United Kingdom</v>
          </cell>
          <cell r="G86">
            <v>13654.680720090391</v>
          </cell>
          <cell r="H86">
            <v>4479.8496862037782</v>
          </cell>
          <cell r="K86" t="str">
            <v>United Kingdom</v>
          </cell>
          <cell r="L86">
            <v>399.2577956397584</v>
          </cell>
          <cell r="M86">
            <v>411.91654468210493</v>
          </cell>
        </row>
      </sheetData>
      <sheetData sheetId="51">
        <row r="2">
          <cell r="A2" t="str">
            <v>Million Euros, 2015</v>
          </cell>
          <cell r="B2" t="str">
            <v>Argentina</v>
          </cell>
          <cell r="C2" t="str">
            <v>Australia</v>
          </cell>
          <cell r="D2" t="str">
            <v>Brazil</v>
          </cell>
          <cell r="E2" t="str">
            <v>Canada</v>
          </cell>
          <cell r="F2" t="str">
            <v>Chile</v>
          </cell>
          <cell r="G2" t="str">
            <v>China (except Hong Kong)</v>
          </cell>
          <cell r="H2" t="str">
            <v>Egypt</v>
          </cell>
          <cell r="I2" t="str">
            <v>Extra-EU, not allocated</v>
          </cell>
          <cell r="J2" t="str">
            <v>Extra-EU-28</v>
          </cell>
          <cell r="K2" t="str">
            <v>Iceland</v>
          </cell>
          <cell r="L2" t="str">
            <v>India</v>
          </cell>
          <cell r="M2" t="str">
            <v>Indonesia</v>
          </cell>
          <cell r="N2" t="str">
            <v>Japan</v>
          </cell>
          <cell r="O2" t="str">
            <v>Maghreb</v>
          </cell>
          <cell r="P2" t="str">
            <v>Malaysia</v>
          </cell>
          <cell r="Q2" t="str">
            <v>Mashrek</v>
          </cell>
          <cell r="R2" t="str">
            <v>Mexico</v>
          </cell>
          <cell r="S2" t="str">
            <v>Morocco</v>
          </cell>
          <cell r="T2" t="str">
            <v>New Zealand</v>
          </cell>
          <cell r="U2" t="str">
            <v>Nigeria</v>
          </cell>
          <cell r="V2" t="str">
            <v>Non European International Organizations</v>
          </cell>
          <cell r="W2" t="str">
            <v>Norway</v>
          </cell>
          <cell r="X2" t="str">
            <v>Offshore financial centers</v>
          </cell>
          <cell r="Y2" t="str">
            <v>Philippines</v>
          </cell>
          <cell r="Z2" t="str">
            <v>Russia</v>
          </cell>
          <cell r="AA2" t="str">
            <v>South Africa</v>
          </cell>
          <cell r="AB2" t="str">
            <v>South Korea</v>
          </cell>
          <cell r="AC2" t="str">
            <v>Switzerland</v>
          </cell>
          <cell r="AD2" t="str">
            <v>Taiwan</v>
          </cell>
          <cell r="AE2" t="str">
            <v>Thailand</v>
          </cell>
          <cell r="AF2" t="str">
            <v>Turkey</v>
          </cell>
          <cell r="AG2" t="str">
            <v>United States</v>
          </cell>
          <cell r="AH2" t="str">
            <v>Uruguay</v>
          </cell>
          <cell r="AI2" t="str">
            <v>Venezuela</v>
          </cell>
        </row>
        <row r="4">
          <cell r="A4" t="str">
            <v>Belgium</v>
          </cell>
          <cell r="B4">
            <v>73.8</v>
          </cell>
          <cell r="C4">
            <v>304</v>
          </cell>
          <cell r="D4">
            <v>151</v>
          </cell>
          <cell r="E4">
            <v>291.5</v>
          </cell>
          <cell r="F4">
            <v>65</v>
          </cell>
          <cell r="G4">
            <v>537</v>
          </cell>
          <cell r="H4">
            <v>244.2</v>
          </cell>
          <cell r="I4">
            <v>312</v>
          </cell>
          <cell r="J4">
            <v>21667</v>
          </cell>
          <cell r="K4">
            <v>10</v>
          </cell>
          <cell r="L4">
            <v>159</v>
          </cell>
          <cell r="M4">
            <v>43</v>
          </cell>
          <cell r="N4">
            <v>1227</v>
          </cell>
          <cell r="O4">
            <v>122</v>
          </cell>
          <cell r="P4">
            <v>234</v>
          </cell>
          <cell r="Q4">
            <v>247</v>
          </cell>
          <cell r="R4">
            <v>400.9</v>
          </cell>
          <cell r="S4">
            <v>53</v>
          </cell>
          <cell r="T4">
            <v>86</v>
          </cell>
          <cell r="U4">
            <v>52.4</v>
          </cell>
          <cell r="V4">
            <v>139.30000000000001</v>
          </cell>
          <cell r="W4">
            <v>299</v>
          </cell>
          <cell r="X4">
            <v>2097</v>
          </cell>
          <cell r="Y4">
            <v>43</v>
          </cell>
          <cell r="Z4">
            <v>148</v>
          </cell>
          <cell r="AA4">
            <v>124</v>
          </cell>
          <cell r="AB4">
            <v>165</v>
          </cell>
          <cell r="AC4">
            <v>3371</v>
          </cell>
          <cell r="AD4">
            <v>66.2</v>
          </cell>
          <cell r="AE4">
            <v>49</v>
          </cell>
          <cell r="AF4">
            <v>370.5</v>
          </cell>
          <cell r="AG4">
            <v>8208.1</v>
          </cell>
          <cell r="AH4">
            <v>10</v>
          </cell>
          <cell r="AI4">
            <v>4.9000000000000004</v>
          </cell>
          <cell r="AJ4">
            <v>2683.1999999999971</v>
          </cell>
        </row>
        <row r="5">
          <cell r="A5" t="str">
            <v>Cyprus</v>
          </cell>
          <cell r="B5">
            <v>0</v>
          </cell>
          <cell r="C5">
            <v>1</v>
          </cell>
          <cell r="D5">
            <v>0.6</v>
          </cell>
          <cell r="E5">
            <v>1</v>
          </cell>
          <cell r="F5">
            <v>0</v>
          </cell>
          <cell r="G5">
            <v>15</v>
          </cell>
          <cell r="H5">
            <v>4.5999999999999996</v>
          </cell>
          <cell r="I5">
            <v>1034</v>
          </cell>
          <cell r="J5">
            <v>2416</v>
          </cell>
          <cell r="K5">
            <v>0</v>
          </cell>
          <cell r="L5">
            <v>11</v>
          </cell>
          <cell r="M5">
            <v>1.1000000000000001</v>
          </cell>
          <cell r="N5">
            <v>6</v>
          </cell>
          <cell r="O5">
            <v>4830</v>
          </cell>
          <cell r="P5">
            <v>0</v>
          </cell>
          <cell r="Q5">
            <v>43</v>
          </cell>
          <cell r="R5">
            <v>0</v>
          </cell>
          <cell r="S5">
            <v>0</v>
          </cell>
          <cell r="T5">
            <v>0</v>
          </cell>
          <cell r="U5">
            <v>1</v>
          </cell>
          <cell r="V5">
            <v>0</v>
          </cell>
          <cell r="W5">
            <v>4</v>
          </cell>
          <cell r="X5">
            <v>111</v>
          </cell>
          <cell r="Y5">
            <v>0</v>
          </cell>
          <cell r="Z5">
            <v>521</v>
          </cell>
          <cell r="AA5">
            <v>7</v>
          </cell>
          <cell r="AB5">
            <v>20</v>
          </cell>
          <cell r="AC5">
            <v>7</v>
          </cell>
          <cell r="AD5">
            <v>0</v>
          </cell>
          <cell r="AE5">
            <v>1.2</v>
          </cell>
          <cell r="AF5">
            <v>1.9</v>
          </cell>
          <cell r="AG5">
            <v>329.7</v>
          </cell>
          <cell r="AH5">
            <v>0</v>
          </cell>
          <cell r="AI5">
            <v>0</v>
          </cell>
          <cell r="AJ5">
            <v>1371.9000000000005</v>
          </cell>
        </row>
        <row r="6">
          <cell r="A6" t="str">
            <v>Ireland</v>
          </cell>
          <cell r="B6">
            <v>152.19999999999999</v>
          </cell>
          <cell r="C6">
            <v>3134.8</v>
          </cell>
          <cell r="D6">
            <v>1162</v>
          </cell>
          <cell r="E6">
            <v>928</v>
          </cell>
          <cell r="F6">
            <v>239.9</v>
          </cell>
          <cell r="G6">
            <v>3818</v>
          </cell>
          <cell r="H6">
            <v>209.9</v>
          </cell>
          <cell r="I6">
            <v>22128</v>
          </cell>
          <cell r="J6">
            <v>80739</v>
          </cell>
          <cell r="K6">
            <v>82.1</v>
          </cell>
          <cell r="L6">
            <v>2694</v>
          </cell>
          <cell r="M6">
            <v>451</v>
          </cell>
          <cell r="N6">
            <v>5018</v>
          </cell>
          <cell r="O6">
            <v>114</v>
          </cell>
          <cell r="P6">
            <v>293.60000000000002</v>
          </cell>
          <cell r="Q6">
            <v>80739</v>
          </cell>
          <cell r="R6">
            <v>518.79999999999995</v>
          </cell>
          <cell r="S6">
            <v>84.3</v>
          </cell>
          <cell r="T6">
            <v>135</v>
          </cell>
          <cell r="U6">
            <v>121</v>
          </cell>
          <cell r="V6">
            <v>9.6</v>
          </cell>
          <cell r="W6">
            <v>1485</v>
          </cell>
          <cell r="X6">
            <v>6623</v>
          </cell>
          <cell r="Y6">
            <v>220.8</v>
          </cell>
          <cell r="Z6">
            <v>1299.2</v>
          </cell>
          <cell r="AA6">
            <v>762.2</v>
          </cell>
          <cell r="AB6">
            <v>729.6</v>
          </cell>
          <cell r="AC6">
            <v>2715.1</v>
          </cell>
          <cell r="AD6">
            <v>388</v>
          </cell>
          <cell r="AE6">
            <v>301</v>
          </cell>
          <cell r="AF6">
            <v>516.4</v>
          </cell>
          <cell r="AG6">
            <v>15554</v>
          </cell>
          <cell r="AH6">
            <v>0.1</v>
          </cell>
          <cell r="AI6">
            <v>18.3</v>
          </cell>
          <cell r="AJ6">
            <v>31294.89999999998</v>
          </cell>
        </row>
        <row r="7">
          <cell r="A7" t="str">
            <v>Luxembourg</v>
          </cell>
          <cell r="B7">
            <v>85</v>
          </cell>
          <cell r="C7">
            <v>383</v>
          </cell>
          <cell r="D7">
            <v>154</v>
          </cell>
          <cell r="E7">
            <v>450</v>
          </cell>
          <cell r="F7">
            <v>74</v>
          </cell>
          <cell r="G7">
            <v>389.7</v>
          </cell>
          <cell r="H7">
            <v>67</v>
          </cell>
          <cell r="I7">
            <v>0</v>
          </cell>
          <cell r="J7">
            <v>22250</v>
          </cell>
          <cell r="K7">
            <v>45</v>
          </cell>
          <cell r="L7">
            <v>207</v>
          </cell>
          <cell r="M7">
            <v>59</v>
          </cell>
          <cell r="N7">
            <v>911.2</v>
          </cell>
          <cell r="O7">
            <v>69</v>
          </cell>
          <cell r="P7">
            <v>87</v>
          </cell>
          <cell r="Q7">
            <v>152</v>
          </cell>
          <cell r="R7">
            <v>129</v>
          </cell>
          <cell r="S7">
            <v>20</v>
          </cell>
          <cell r="T7">
            <v>104</v>
          </cell>
          <cell r="U7">
            <v>69</v>
          </cell>
          <cell r="V7">
            <v>30</v>
          </cell>
          <cell r="W7">
            <v>247</v>
          </cell>
          <cell r="X7">
            <v>4524</v>
          </cell>
          <cell r="Y7">
            <v>42</v>
          </cell>
          <cell r="Z7">
            <v>164.1</v>
          </cell>
          <cell r="AA7">
            <v>226</v>
          </cell>
          <cell r="AB7">
            <v>142</v>
          </cell>
          <cell r="AC7">
            <v>6178</v>
          </cell>
          <cell r="AD7">
            <v>514</v>
          </cell>
          <cell r="AE7">
            <v>94</v>
          </cell>
          <cell r="AF7">
            <v>154</v>
          </cell>
          <cell r="AG7">
            <v>4654</v>
          </cell>
          <cell r="AH7">
            <v>54</v>
          </cell>
          <cell r="AI7">
            <v>12</v>
          </cell>
          <cell r="AJ7">
            <v>2023</v>
          </cell>
        </row>
        <row r="8">
          <cell r="A8" t="str">
            <v>Malta</v>
          </cell>
          <cell r="B8">
            <v>0.2</v>
          </cell>
          <cell r="C8">
            <v>47.3</v>
          </cell>
          <cell r="D8">
            <v>0</v>
          </cell>
          <cell r="E8">
            <v>146.30000000000001</v>
          </cell>
          <cell r="F8">
            <v>0</v>
          </cell>
          <cell r="G8">
            <v>1.3</v>
          </cell>
          <cell r="H8">
            <v>3.8</v>
          </cell>
          <cell r="I8">
            <v>36.9</v>
          </cell>
          <cell r="J8">
            <v>1159.5999999999999</v>
          </cell>
          <cell r="K8">
            <v>0.3</v>
          </cell>
          <cell r="L8">
            <v>2.8</v>
          </cell>
          <cell r="M8">
            <v>0.9</v>
          </cell>
          <cell r="N8">
            <v>2</v>
          </cell>
          <cell r="O8">
            <v>3642</v>
          </cell>
          <cell r="P8">
            <v>1.3</v>
          </cell>
          <cell r="Q8">
            <v>3642</v>
          </cell>
          <cell r="R8">
            <v>0.3</v>
          </cell>
          <cell r="S8">
            <v>3.6</v>
          </cell>
          <cell r="T8">
            <v>1.2</v>
          </cell>
          <cell r="U8">
            <v>0.3</v>
          </cell>
          <cell r="V8">
            <v>0.4</v>
          </cell>
          <cell r="W8">
            <v>153.9</v>
          </cell>
          <cell r="X8">
            <v>891.6</v>
          </cell>
          <cell r="Y8">
            <v>0.6</v>
          </cell>
          <cell r="Z8">
            <v>5.3</v>
          </cell>
          <cell r="AA8">
            <v>5.9</v>
          </cell>
          <cell r="AB8">
            <v>0</v>
          </cell>
          <cell r="AC8">
            <v>113</v>
          </cell>
          <cell r="AD8">
            <v>0</v>
          </cell>
          <cell r="AE8">
            <v>0</v>
          </cell>
          <cell r="AF8">
            <v>47.1</v>
          </cell>
          <cell r="AG8">
            <v>60.2</v>
          </cell>
          <cell r="AH8">
            <v>0</v>
          </cell>
          <cell r="AI8">
            <v>0</v>
          </cell>
          <cell r="AJ8">
            <v>-329.39999999999964</v>
          </cell>
        </row>
        <row r="9">
          <cell r="A9" t="str">
            <v>Netherlands</v>
          </cell>
          <cell r="B9">
            <v>506.3</v>
          </cell>
          <cell r="C9">
            <v>1766.5</v>
          </cell>
          <cell r="D9">
            <v>1332.4</v>
          </cell>
          <cell r="E9">
            <v>1684.9</v>
          </cell>
          <cell r="F9">
            <v>352.5</v>
          </cell>
          <cell r="G9">
            <v>1612.2</v>
          </cell>
          <cell r="H9">
            <v>181.2</v>
          </cell>
          <cell r="I9">
            <v>724.7</v>
          </cell>
          <cell r="J9">
            <v>53592</v>
          </cell>
          <cell r="K9">
            <v>102.3</v>
          </cell>
          <cell r="L9">
            <v>752.9</v>
          </cell>
          <cell r="M9">
            <v>569.9</v>
          </cell>
          <cell r="N9">
            <v>1761.8</v>
          </cell>
          <cell r="O9">
            <v>71595.5</v>
          </cell>
          <cell r="P9">
            <v>330</v>
          </cell>
          <cell r="Q9">
            <v>71595.5</v>
          </cell>
          <cell r="R9">
            <v>1418</v>
          </cell>
          <cell r="S9">
            <v>107.1</v>
          </cell>
          <cell r="T9">
            <v>212.3</v>
          </cell>
          <cell r="U9">
            <v>330.1</v>
          </cell>
          <cell r="V9">
            <v>146.69999999999999</v>
          </cell>
          <cell r="W9">
            <v>656.5</v>
          </cell>
          <cell r="X9">
            <v>9642.7000000000007</v>
          </cell>
          <cell r="Y9">
            <v>300.60000000000002</v>
          </cell>
          <cell r="Z9">
            <v>1932.1</v>
          </cell>
          <cell r="AA9">
            <v>412.6</v>
          </cell>
          <cell r="AB9">
            <v>824.2</v>
          </cell>
          <cell r="AC9">
            <v>4427</v>
          </cell>
          <cell r="AD9">
            <v>286.7</v>
          </cell>
          <cell r="AE9">
            <v>375.5</v>
          </cell>
          <cell r="AF9">
            <v>455.5</v>
          </cell>
          <cell r="AG9">
            <v>11078.7</v>
          </cell>
          <cell r="AH9">
            <v>79.400000000000006</v>
          </cell>
          <cell r="AI9">
            <v>41.9</v>
          </cell>
          <cell r="AJ9">
            <v>10212.099999999948</v>
          </cell>
        </row>
        <row r="10">
          <cell r="A10" t="str">
            <v>Total</v>
          </cell>
          <cell r="B10">
            <v>869.2</v>
          </cell>
          <cell r="C10">
            <v>3954.6</v>
          </cell>
          <cell r="D10">
            <v>2787.8</v>
          </cell>
          <cell r="E10">
            <v>2679.9</v>
          </cell>
          <cell r="F10">
            <v>690.8</v>
          </cell>
          <cell r="G10">
            <v>6685.7</v>
          </cell>
          <cell r="H10">
            <v>771.6</v>
          </cell>
          <cell r="I10">
            <v>12825.3</v>
          </cell>
          <cell r="J10">
            <v>156792.29999999999</v>
          </cell>
          <cell r="K10">
            <v>244.5</v>
          </cell>
          <cell r="L10">
            <v>3047</v>
          </cell>
          <cell r="M10">
            <v>1098.4000000000001</v>
          </cell>
          <cell r="N10">
            <v>5018.3</v>
          </cell>
          <cell r="O10">
            <v>111715.2</v>
          </cell>
          <cell r="P10">
            <v>1156.5999999999999</v>
          </cell>
          <cell r="Q10">
            <v>62373.2</v>
          </cell>
          <cell r="R10">
            <v>1861</v>
          </cell>
          <cell r="S10">
            <v>261.7</v>
          </cell>
          <cell r="T10">
            <v>529</v>
          </cell>
          <cell r="U10">
            <v>1016.3</v>
          </cell>
          <cell r="V10">
            <v>118.8</v>
          </cell>
          <cell r="W10">
            <v>2644.2</v>
          </cell>
          <cell r="X10">
            <v>17438.599999999999</v>
          </cell>
          <cell r="Y10">
            <v>581.1</v>
          </cell>
          <cell r="Z10">
            <v>3630.2</v>
          </cell>
          <cell r="AA10">
            <v>1617.6</v>
          </cell>
          <cell r="AB10">
            <v>1453.7</v>
          </cell>
          <cell r="AC10">
            <v>18777.900000000001</v>
          </cell>
          <cell r="AD10">
            <v>1566.9</v>
          </cell>
          <cell r="AE10">
            <v>892.3</v>
          </cell>
          <cell r="AF10">
            <v>1822.4</v>
          </cell>
          <cell r="AG10">
            <v>36383.5</v>
          </cell>
          <cell r="AH10">
            <v>260.39999999999998</v>
          </cell>
          <cell r="AI10">
            <v>210.6</v>
          </cell>
        </row>
        <row r="12">
          <cell r="A12" t="str">
            <v>Tax losses (high risk minus GDP share), Million Euros, 2015</v>
          </cell>
        </row>
        <row r="13">
          <cell r="A13" t="str">
            <v>Belgium</v>
          </cell>
          <cell r="B13">
            <v>29.088070938344003</v>
          </cell>
          <cell r="C13">
            <v>119.82078001702679</v>
          </cell>
          <cell r="D13">
            <v>59.51624270582581</v>
          </cell>
          <cell r="E13">
            <v>114.89393873343194</v>
          </cell>
          <cell r="F13">
            <v>25.619574674693229</v>
          </cell>
          <cell r="G13">
            <v>211.65710154323483</v>
          </cell>
          <cell r="H13">
            <v>96.250771316309013</v>
          </cell>
          <cell r="I13">
            <v>122.97395843852749</v>
          </cell>
          <cell r="J13">
            <v>8539.9896073319724</v>
          </cell>
          <cell r="K13">
            <v>3.9414730268758813</v>
          </cell>
          <cell r="L13">
            <v>62.669421127326515</v>
          </cell>
          <cell r="M13">
            <v>16.948334015566289</v>
          </cell>
          <cell r="N13">
            <v>483.61874039767065</v>
          </cell>
          <cell r="O13">
            <v>48.085970927885754</v>
          </cell>
          <cell r="P13">
            <v>92.230468828895624</v>
          </cell>
          <cell r="Q13">
            <v>97.354383763834264</v>
          </cell>
          <cell r="R13">
            <v>158.01365364745408</v>
          </cell>
          <cell r="S13">
            <v>20.889807042442172</v>
          </cell>
          <cell r="T13">
            <v>33.896668031132577</v>
          </cell>
          <cell r="U13">
            <v>20.653318660829619</v>
          </cell>
          <cell r="V13">
            <v>54.904719264381029</v>
          </cell>
          <cell r="W13">
            <v>117.85004350358885</v>
          </cell>
          <cell r="X13">
            <v>826.52689373587236</v>
          </cell>
          <cell r="Y13">
            <v>16.948334015566289</v>
          </cell>
          <cell r="Z13">
            <v>58.333800797763047</v>
          </cell>
          <cell r="AA13">
            <v>48.874265533260925</v>
          </cell>
          <cell r="AB13">
            <v>65.034304943452042</v>
          </cell>
          <cell r="AC13">
            <v>1328.6705573598597</v>
          </cell>
          <cell r="AD13">
            <v>26.092551437918335</v>
          </cell>
          <cell r="AE13">
            <v>19.313217831691819</v>
          </cell>
          <cell r="AF13">
            <v>146.03157564575139</v>
          </cell>
          <cell r="AG13">
            <v>3235.2004751899922</v>
          </cell>
          <cell r="AH13">
            <v>3.9414730268758813</v>
          </cell>
          <cell r="AI13">
            <v>1.931321783169182</v>
          </cell>
          <cell r="AJ13">
            <v>1057.5760425713365</v>
          </cell>
        </row>
        <row r="14">
          <cell r="A14" t="str">
            <v>Cyprus</v>
          </cell>
          <cell r="B14">
            <v>0</v>
          </cell>
          <cell r="C14">
            <v>0.76933095876477653</v>
          </cell>
          <cell r="D14">
            <v>0.46159857525886588</v>
          </cell>
          <cell r="E14">
            <v>0.76933095876477653</v>
          </cell>
          <cell r="F14">
            <v>0</v>
          </cell>
          <cell r="G14">
            <v>11.539964381471648</v>
          </cell>
          <cell r="H14">
            <v>3.5389224103179719</v>
          </cell>
          <cell r="I14">
            <v>795.48821136277888</v>
          </cell>
          <cell r="J14">
            <v>1858.7035963757</v>
          </cell>
          <cell r="K14">
            <v>0</v>
          </cell>
          <cell r="L14">
            <v>8.4626405464125423</v>
          </cell>
          <cell r="M14">
            <v>0.8462640546412542</v>
          </cell>
          <cell r="N14">
            <v>4.6159857525886592</v>
          </cell>
          <cell r="O14">
            <v>3715.8685308338704</v>
          </cell>
          <cell r="P14">
            <v>0</v>
          </cell>
          <cell r="Q14">
            <v>33.081231226885393</v>
          </cell>
          <cell r="R14">
            <v>0</v>
          </cell>
          <cell r="S14">
            <v>0</v>
          </cell>
          <cell r="T14">
            <v>0</v>
          </cell>
          <cell r="U14">
            <v>0.76933095876477653</v>
          </cell>
          <cell r="V14">
            <v>0</v>
          </cell>
          <cell r="W14">
            <v>3.0773238350591061</v>
          </cell>
          <cell r="X14">
            <v>85.395736422890195</v>
          </cell>
          <cell r="Y14">
            <v>0</v>
          </cell>
          <cell r="Z14">
            <v>400.82142951644857</v>
          </cell>
          <cell r="AA14">
            <v>5.3853167113534361</v>
          </cell>
          <cell r="AB14">
            <v>15.386619175295531</v>
          </cell>
          <cell r="AC14">
            <v>5.3853167113534361</v>
          </cell>
          <cell r="AD14">
            <v>0</v>
          </cell>
          <cell r="AE14">
            <v>0.92319715051773177</v>
          </cell>
          <cell r="AF14">
            <v>1.4617288216530753</v>
          </cell>
          <cell r="AG14">
            <v>253.64841710474681</v>
          </cell>
          <cell r="AH14">
            <v>0</v>
          </cell>
          <cell r="AI14">
            <v>0</v>
          </cell>
          <cell r="AJ14">
            <v>1055.4451423293954</v>
          </cell>
        </row>
        <row r="15">
          <cell r="A15" t="str">
            <v>Ireland</v>
          </cell>
          <cell r="B15">
            <v>137.03464849533285</v>
          </cell>
          <cell r="C15">
            <v>2822.4455722941493</v>
          </cell>
          <cell r="D15">
            <v>1046.2172243861812</v>
          </cell>
          <cell r="E15">
            <v>835.53320501753547</v>
          </cell>
          <cell r="F15">
            <v>215.99613780571849</v>
          </cell>
          <cell r="G15">
            <v>3437.5708801260243</v>
          </cell>
          <cell r="H15">
            <v>188.98536609178956</v>
          </cell>
          <cell r="I15">
            <v>19923.145216193992</v>
          </cell>
          <cell r="J15">
            <v>72694.089913696982</v>
          </cell>
          <cell r="K15">
            <v>73.919478590452215</v>
          </cell>
          <cell r="L15">
            <v>2425.5672999108197</v>
          </cell>
          <cell r="M15">
            <v>406.06193476606518</v>
          </cell>
          <cell r="N15">
            <v>4518.0017486831821</v>
          </cell>
          <cell r="O15">
            <v>102.64093251293001</v>
          </cell>
          <cell r="P15">
            <v>264.34541917365135</v>
          </cell>
          <cell r="Q15">
            <v>72694.089913696982</v>
          </cell>
          <cell r="R15">
            <v>467.10627883954459</v>
          </cell>
          <cell r="S15">
            <v>75.900268516140343</v>
          </cell>
          <cell r="T15">
            <v>121.54847271268027</v>
          </cell>
          <cell r="U15">
            <v>108.94344591284677</v>
          </cell>
          <cell r="V15">
            <v>8.6434469484572638</v>
          </cell>
          <cell r="W15">
            <v>1337.0331998394829</v>
          </cell>
          <cell r="X15">
            <v>5963.0780353783812</v>
          </cell>
          <cell r="Y15">
            <v>198.79927981451706</v>
          </cell>
          <cell r="Z15">
            <v>1169.7464870245497</v>
          </cell>
          <cell r="AA15">
            <v>686.2536733452215</v>
          </cell>
          <cell r="AB15">
            <v>656.90196808275209</v>
          </cell>
          <cell r="AC15">
            <v>2444.5648760162831</v>
          </cell>
          <cell r="AD15">
            <v>349.3393141668144</v>
          </cell>
          <cell r="AE15">
            <v>271.00807619642046</v>
          </cell>
          <cell r="AF15">
            <v>464.94541710243027</v>
          </cell>
          <cell r="AG15">
            <v>14004.184774615029</v>
          </cell>
          <cell r="AH15">
            <v>9.0035905713096498E-2</v>
          </cell>
          <cell r="AI15">
            <v>16.476570745496659</v>
          </cell>
          <cell r="AJ15">
            <v>28176.646657007863</v>
          </cell>
        </row>
        <row r="16">
          <cell r="A16" t="str">
            <v>Luxembourg</v>
          </cell>
          <cell r="B16">
            <v>75.303177955616391</v>
          </cell>
          <cell r="C16">
            <v>339.3072606706009</v>
          </cell>
          <cell r="D16">
            <v>136.43164006076381</v>
          </cell>
          <cell r="E16">
            <v>398.6638832944397</v>
          </cell>
          <cell r="F16">
            <v>65.558060808418972</v>
          </cell>
          <cell r="G16">
            <v>345.24292293298475</v>
          </cell>
          <cell r="H16">
            <v>59.356622623838803</v>
          </cell>
          <cell r="I16">
            <v>0</v>
          </cell>
          <cell r="J16">
            <v>19711.714229558409</v>
          </cell>
          <cell r="K16">
            <v>39.866388329443971</v>
          </cell>
          <cell r="L16">
            <v>183.38538631544228</v>
          </cell>
          <cell r="M16">
            <v>52.269264698604317</v>
          </cell>
          <cell r="N16">
            <v>807.25006768420769</v>
          </cell>
          <cell r="O16">
            <v>61.12846210514742</v>
          </cell>
          <cell r="P16">
            <v>77.075017436925009</v>
          </cell>
          <cell r="Q16">
            <v>134.65980057945518</v>
          </cell>
          <cell r="R16">
            <v>114.28364654440605</v>
          </cell>
          <cell r="S16">
            <v>17.71839481308621</v>
          </cell>
          <cell r="T16">
            <v>92.135653028048281</v>
          </cell>
          <cell r="U16">
            <v>61.12846210514742</v>
          </cell>
          <cell r="V16">
            <v>26.577592219629313</v>
          </cell>
          <cell r="W16">
            <v>218.82217594161469</v>
          </cell>
          <cell r="X16">
            <v>4007.9009067201005</v>
          </cell>
          <cell r="Y16">
            <v>37.208629107481038</v>
          </cell>
          <cell r="Z16">
            <v>145.37942944137234</v>
          </cell>
          <cell r="AA16">
            <v>200.21786138787417</v>
          </cell>
          <cell r="AB16">
            <v>125.80060317291209</v>
          </cell>
          <cell r="AC16">
            <v>5473.2121577623302</v>
          </cell>
          <cell r="AD16">
            <v>455.36274669631558</v>
          </cell>
          <cell r="AE16">
            <v>83.276455621505178</v>
          </cell>
          <cell r="AF16">
            <v>136.43164006076381</v>
          </cell>
          <cell r="AG16">
            <v>4123.0704730051611</v>
          </cell>
          <cell r="AH16">
            <v>47.839665995332766</v>
          </cell>
          <cell r="AI16">
            <v>10.631036887851725</v>
          </cell>
          <cell r="AJ16">
            <v>1792.2156353436717</v>
          </cell>
        </row>
        <row r="17">
          <cell r="A17" t="str">
            <v>Malta</v>
          </cell>
          <cell r="B17">
            <v>8.9348515873201681E-2</v>
          </cell>
          <cell r="C17">
            <v>21.130924004012194</v>
          </cell>
          <cell r="D17">
            <v>0</v>
          </cell>
          <cell r="E17">
            <v>65.358439361247022</v>
          </cell>
          <cell r="F17">
            <v>0</v>
          </cell>
          <cell r="G17">
            <v>0.58076535317581091</v>
          </cell>
          <cell r="H17">
            <v>1.6976218015908318</v>
          </cell>
          <cell r="I17">
            <v>16.484801178605707</v>
          </cell>
          <cell r="J17">
            <v>518.0426950328233</v>
          </cell>
          <cell r="K17">
            <v>0.13402277380980251</v>
          </cell>
          <cell r="L17">
            <v>1.2508792222248233</v>
          </cell>
          <cell r="M17">
            <v>0.40206832142940752</v>
          </cell>
          <cell r="N17">
            <v>0.89348515873201673</v>
          </cell>
          <cell r="O17">
            <v>1627.0364740510024</v>
          </cell>
          <cell r="P17">
            <v>0.58076535317581091</v>
          </cell>
          <cell r="Q17">
            <v>1627.0364740510024</v>
          </cell>
          <cell r="R17">
            <v>0.13402277380980251</v>
          </cell>
          <cell r="S17">
            <v>1.6082732857176301</v>
          </cell>
          <cell r="T17">
            <v>0.53609109523921006</v>
          </cell>
          <cell r="U17">
            <v>0.13402277380980251</v>
          </cell>
          <cell r="V17">
            <v>0.17869703174640336</v>
          </cell>
          <cell r="W17">
            <v>68.753682964428691</v>
          </cell>
          <cell r="X17">
            <v>398.31568376273304</v>
          </cell>
          <cell r="Y17">
            <v>0.26804554761960503</v>
          </cell>
          <cell r="Z17">
            <v>2.3677356706398442</v>
          </cell>
          <cell r="AA17">
            <v>2.6357812182594493</v>
          </cell>
          <cell r="AB17">
            <v>0</v>
          </cell>
          <cell r="AC17">
            <v>50.481911468358945</v>
          </cell>
          <cell r="AD17">
            <v>0</v>
          </cell>
          <cell r="AE17">
            <v>0</v>
          </cell>
          <cell r="AF17">
            <v>21.041575488138996</v>
          </cell>
          <cell r="AG17">
            <v>26.893903277833704</v>
          </cell>
          <cell r="AH17">
            <v>0</v>
          </cell>
          <cell r="AI17">
            <v>0</v>
          </cell>
          <cell r="AJ17">
            <v>-147.15700564316285</v>
          </cell>
        </row>
        <row r="18">
          <cell r="A18" t="str">
            <v>Netherlands</v>
          </cell>
          <cell r="B18">
            <v>278.4351656371561</v>
          </cell>
          <cell r="C18">
            <v>971.47090677076096</v>
          </cell>
          <cell r="D18">
            <v>732.74148665800283</v>
          </cell>
          <cell r="E18">
            <v>926.59571515315895</v>
          </cell>
          <cell r="F18">
            <v>193.85422849515609</v>
          </cell>
          <cell r="G18">
            <v>886.61499909188842</v>
          </cell>
          <cell r="H18">
            <v>99.649322562616405</v>
          </cell>
          <cell r="I18">
            <v>398.54229614309116</v>
          </cell>
          <cell r="J18">
            <v>29472.44202414867</v>
          </cell>
          <cell r="K18">
            <v>56.258971844126151</v>
          </cell>
          <cell r="L18">
            <v>414.05063442270364</v>
          </cell>
          <cell r="M18">
            <v>313.41141792734595</v>
          </cell>
          <cell r="N18">
            <v>968.88618372415885</v>
          </cell>
          <cell r="O18">
            <v>39373.306145319002</v>
          </cell>
          <cell r="P18">
            <v>181.48055433589082</v>
          </cell>
          <cell r="Q18">
            <v>39373.306145319002</v>
          </cell>
          <cell r="R18">
            <v>779.81644257058542</v>
          </cell>
          <cell r="S18">
            <v>58.898688998102742</v>
          </cell>
          <cell r="T18">
            <v>116.75248995608976</v>
          </cell>
          <cell r="U18">
            <v>181.53554844326536</v>
          </cell>
          <cell r="V18">
            <v>80.676355518409636</v>
          </cell>
          <cell r="W18">
            <v>361.03631491367372</v>
          </cell>
          <cell r="X18">
            <v>5302.9167918021049</v>
          </cell>
          <cell r="Y18">
            <v>165.3122867677842</v>
          </cell>
          <cell r="Z18">
            <v>1062.5411485829534</v>
          </cell>
          <cell r="AA18">
            <v>226.90568702723806</v>
          </cell>
          <cell r="AB18">
            <v>453.26143298073094</v>
          </cell>
          <cell r="AC18">
            <v>2434.5891334696626</v>
          </cell>
          <cell r="AD18">
            <v>157.66810584272696</v>
          </cell>
          <cell r="AE18">
            <v>206.50287319129396</v>
          </cell>
          <cell r="AF18">
            <v>250.49815909090384</v>
          </cell>
          <cell r="AG18">
            <v>6092.6321737001026</v>
          </cell>
          <cell r="AH18">
            <v>43.665321255362826</v>
          </cell>
          <cell r="AI18">
            <v>23.042530989920682</v>
          </cell>
          <cell r="AJ18">
            <v>5616.0532391925954</v>
          </cell>
        </row>
      </sheetData>
      <sheetData sheetId="52">
        <row r="2">
          <cell r="L2" t="str">
            <v>Argentina</v>
          </cell>
          <cell r="M2" t="str">
            <v>Australia</v>
          </cell>
          <cell r="N2" t="str">
            <v>Brazil</v>
          </cell>
          <cell r="O2" t="str">
            <v>Canada</v>
          </cell>
          <cell r="P2" t="str">
            <v>Chile</v>
          </cell>
          <cell r="Q2" t="str">
            <v>China (except Hong Kong)</v>
          </cell>
          <cell r="R2" t="str">
            <v>Egypt</v>
          </cell>
          <cell r="S2" t="str">
            <v>Extra-EU, not allocated</v>
          </cell>
          <cell r="T2" t="str">
            <v>Extra-EU-28</v>
          </cell>
          <cell r="U2" t="str">
            <v>Iceland</v>
          </cell>
          <cell r="V2" t="str">
            <v>India</v>
          </cell>
          <cell r="W2" t="str">
            <v>Indonesia</v>
          </cell>
          <cell r="X2" t="str">
            <v>Japan</v>
          </cell>
          <cell r="Y2" t="str">
            <v>Maghreb</v>
          </cell>
          <cell r="Z2" t="str">
            <v>Malaysia</v>
          </cell>
          <cell r="AA2" t="str">
            <v>Mashrek</v>
          </cell>
          <cell r="AB2" t="str">
            <v>Mexico</v>
          </cell>
          <cell r="AC2" t="str">
            <v>Morocco</v>
          </cell>
          <cell r="AD2" t="str">
            <v>New Zealand</v>
          </cell>
          <cell r="AE2" t="str">
            <v>Nigeria</v>
          </cell>
          <cell r="AF2" t="str">
            <v>Non European International Organizations</v>
          </cell>
          <cell r="AG2" t="str">
            <v>Norway</v>
          </cell>
          <cell r="AH2" t="str">
            <v>Offshore financial centers</v>
          </cell>
          <cell r="AI2" t="str">
            <v>Philippines</v>
          </cell>
          <cell r="AJ2" t="str">
            <v>Russia</v>
          </cell>
          <cell r="AK2" t="str">
            <v>South Africa</v>
          </cell>
          <cell r="AL2" t="str">
            <v>South Korea</v>
          </cell>
          <cell r="AM2" t="str">
            <v>Switzerland</v>
          </cell>
          <cell r="AN2" t="str">
            <v>Taiwan</v>
          </cell>
          <cell r="AO2" t="str">
            <v>Thailand</v>
          </cell>
          <cell r="AP2" t="str">
            <v>Turkey</v>
          </cell>
          <cell r="AQ2" t="str">
            <v>United States</v>
          </cell>
          <cell r="AR2" t="str">
            <v>Uruguay</v>
          </cell>
          <cell r="AS2" t="str">
            <v>Venezuela</v>
          </cell>
          <cell r="AT2" t="str">
            <v>Non-EU Non-Haven</v>
          </cell>
        </row>
        <row r="3">
          <cell r="L3">
            <v>5</v>
          </cell>
          <cell r="M3">
            <v>85.7</v>
          </cell>
          <cell r="N3">
            <v>454.1</v>
          </cell>
          <cell r="O3">
            <v>81.5</v>
          </cell>
          <cell r="P3">
            <v>28.1</v>
          </cell>
          <cell r="Q3">
            <v>38</v>
          </cell>
          <cell r="R3">
            <v>21</v>
          </cell>
          <cell r="S3">
            <v>-37.6</v>
          </cell>
          <cell r="T3">
            <v>2931.4</v>
          </cell>
          <cell r="U3">
            <v>0.2</v>
          </cell>
          <cell r="V3">
            <v>7.5</v>
          </cell>
          <cell r="W3">
            <v>2.7</v>
          </cell>
          <cell r="X3">
            <v>15</v>
          </cell>
          <cell r="Y3">
            <v>0</v>
          </cell>
          <cell r="Z3">
            <v>9.1999999999999993</v>
          </cell>
          <cell r="AA3">
            <v>0</v>
          </cell>
          <cell r="AB3">
            <v>75.400000000000006</v>
          </cell>
          <cell r="AC3">
            <v>1.4</v>
          </cell>
          <cell r="AD3">
            <v>18.8</v>
          </cell>
          <cell r="AE3">
            <v>27</v>
          </cell>
          <cell r="AF3">
            <v>0</v>
          </cell>
          <cell r="AG3">
            <v>25.9</v>
          </cell>
          <cell r="AH3">
            <v>95.9</v>
          </cell>
          <cell r="AI3">
            <v>0.3</v>
          </cell>
          <cell r="AJ3">
            <v>346.4</v>
          </cell>
          <cell r="AK3">
            <v>15.3</v>
          </cell>
          <cell r="AL3">
            <v>4.5</v>
          </cell>
          <cell r="AM3">
            <v>244.6</v>
          </cell>
          <cell r="AN3">
            <v>1</v>
          </cell>
          <cell r="AO3">
            <v>8.8000000000000007</v>
          </cell>
          <cell r="AP3">
            <v>44.1</v>
          </cell>
          <cell r="AQ3">
            <v>-4.0999999999999996</v>
          </cell>
          <cell r="AR3">
            <v>0.9</v>
          </cell>
          <cell r="AS3">
            <v>1.3</v>
          </cell>
          <cell r="AT3">
            <v>2590.9</v>
          </cell>
          <cell r="AU3">
            <v>1276.2000000000003</v>
          </cell>
        </row>
        <row r="4">
          <cell r="L4">
            <v>0</v>
          </cell>
          <cell r="M4">
            <v>0</v>
          </cell>
          <cell r="N4">
            <v>0</v>
          </cell>
          <cell r="O4">
            <v>0</v>
          </cell>
          <cell r="P4">
            <v>0</v>
          </cell>
          <cell r="Q4">
            <v>0</v>
          </cell>
          <cell r="R4">
            <v>0</v>
          </cell>
          <cell r="S4">
            <v>808</v>
          </cell>
          <cell r="T4">
            <v>1028</v>
          </cell>
          <cell r="U4">
            <v>0</v>
          </cell>
          <cell r="V4">
            <v>0</v>
          </cell>
          <cell r="W4">
            <v>0</v>
          </cell>
          <cell r="X4">
            <v>0</v>
          </cell>
          <cell r="Y4">
            <v>0</v>
          </cell>
          <cell r="Z4">
            <v>0</v>
          </cell>
          <cell r="AA4">
            <v>0</v>
          </cell>
          <cell r="AB4">
            <v>0</v>
          </cell>
          <cell r="AC4">
            <v>0</v>
          </cell>
          <cell r="AD4">
            <v>0</v>
          </cell>
          <cell r="AE4">
            <v>0</v>
          </cell>
          <cell r="AF4">
            <v>0</v>
          </cell>
          <cell r="AG4">
            <v>0</v>
          </cell>
          <cell r="AH4">
            <v>45</v>
          </cell>
          <cell r="AI4">
            <v>0</v>
          </cell>
          <cell r="AJ4">
            <v>137</v>
          </cell>
          <cell r="AK4">
            <v>0</v>
          </cell>
          <cell r="AL4">
            <v>0</v>
          </cell>
          <cell r="AM4">
            <v>6.3999999999999995</v>
          </cell>
          <cell r="AN4">
            <v>0</v>
          </cell>
          <cell r="AO4">
            <v>0</v>
          </cell>
          <cell r="AP4">
            <v>0</v>
          </cell>
          <cell r="AQ4">
            <v>-0.2</v>
          </cell>
          <cell r="AR4">
            <v>0</v>
          </cell>
          <cell r="AS4">
            <v>0</v>
          </cell>
          <cell r="AT4">
            <v>976.6</v>
          </cell>
          <cell r="AU4">
            <v>839.8</v>
          </cell>
        </row>
        <row r="5">
          <cell r="L5">
            <v>0</v>
          </cell>
          <cell r="M5">
            <v>0</v>
          </cell>
          <cell r="N5">
            <v>0</v>
          </cell>
          <cell r="O5">
            <v>-20</v>
          </cell>
          <cell r="P5">
            <v>0</v>
          </cell>
          <cell r="Q5">
            <v>0</v>
          </cell>
          <cell r="R5">
            <v>0</v>
          </cell>
          <cell r="S5">
            <v>-39.700000000000003</v>
          </cell>
          <cell r="T5">
            <v>-1560</v>
          </cell>
          <cell r="U5">
            <v>0</v>
          </cell>
          <cell r="V5">
            <v>0</v>
          </cell>
          <cell r="W5">
            <v>0</v>
          </cell>
          <cell r="X5">
            <v>0</v>
          </cell>
          <cell r="Y5">
            <v>0</v>
          </cell>
          <cell r="Z5">
            <v>0</v>
          </cell>
          <cell r="AA5">
            <v>0</v>
          </cell>
          <cell r="AB5">
            <v>41</v>
          </cell>
          <cell r="AC5">
            <v>0</v>
          </cell>
          <cell r="AD5">
            <v>0</v>
          </cell>
          <cell r="AE5">
            <v>0</v>
          </cell>
          <cell r="AF5">
            <v>0</v>
          </cell>
          <cell r="AG5">
            <v>0</v>
          </cell>
          <cell r="AH5">
            <v>-145</v>
          </cell>
          <cell r="AI5">
            <v>0</v>
          </cell>
          <cell r="AJ5">
            <v>-12</v>
          </cell>
          <cell r="AK5">
            <v>0</v>
          </cell>
          <cell r="AL5">
            <v>0</v>
          </cell>
          <cell r="AM5">
            <v>151.5</v>
          </cell>
          <cell r="AN5">
            <v>0</v>
          </cell>
          <cell r="AO5">
            <v>0</v>
          </cell>
          <cell r="AP5">
            <v>0</v>
          </cell>
          <cell r="AQ5">
            <v>-4.4000000000000004</v>
          </cell>
          <cell r="AR5">
            <v>0</v>
          </cell>
          <cell r="AS5">
            <v>0</v>
          </cell>
          <cell r="AT5">
            <v>-1566.5</v>
          </cell>
          <cell r="AU5">
            <v>-1571.1</v>
          </cell>
        </row>
        <row r="6">
          <cell r="L6">
            <v>0</v>
          </cell>
          <cell r="M6">
            <v>182.1</v>
          </cell>
          <cell r="N6">
            <v>328.7</v>
          </cell>
          <cell r="O6">
            <v>0</v>
          </cell>
          <cell r="P6">
            <v>34.4</v>
          </cell>
          <cell r="Q6">
            <v>27.3</v>
          </cell>
          <cell r="R6">
            <v>0</v>
          </cell>
          <cell r="S6">
            <v>0</v>
          </cell>
          <cell r="T6">
            <v>4632</v>
          </cell>
          <cell r="U6">
            <v>0.7</v>
          </cell>
          <cell r="V6">
            <v>17.8</v>
          </cell>
          <cell r="W6">
            <v>0</v>
          </cell>
          <cell r="X6">
            <v>0</v>
          </cell>
          <cell r="Y6">
            <v>0</v>
          </cell>
          <cell r="Z6">
            <v>34.799999999999997</v>
          </cell>
          <cell r="AA6">
            <v>0</v>
          </cell>
          <cell r="AB6">
            <v>165.5</v>
          </cell>
          <cell r="AC6">
            <v>3.2</v>
          </cell>
          <cell r="AD6">
            <v>0</v>
          </cell>
          <cell r="AE6">
            <v>0</v>
          </cell>
          <cell r="AF6">
            <v>0</v>
          </cell>
          <cell r="AG6">
            <v>0</v>
          </cell>
          <cell r="AH6">
            <v>1389</v>
          </cell>
          <cell r="AI6">
            <v>1.2</v>
          </cell>
          <cell r="AJ6">
            <v>34.799999999999997</v>
          </cell>
          <cell r="AK6">
            <v>61.1</v>
          </cell>
          <cell r="AL6">
            <v>12.3</v>
          </cell>
          <cell r="AM6">
            <v>612.20000000000005</v>
          </cell>
          <cell r="AN6">
            <v>10.1</v>
          </cell>
          <cell r="AO6">
            <v>7.8</v>
          </cell>
          <cell r="AP6">
            <v>25.9</v>
          </cell>
          <cell r="AQ6">
            <v>-17.600000000000001</v>
          </cell>
          <cell r="AR6">
            <v>3.8</v>
          </cell>
          <cell r="AS6">
            <v>5.6</v>
          </cell>
          <cell r="AT6">
            <v>2630.8</v>
          </cell>
          <cell r="AU6">
            <v>1692.4999999999993</v>
          </cell>
        </row>
        <row r="7">
          <cell r="L7">
            <v>0.7</v>
          </cell>
          <cell r="M7">
            <v>25.2</v>
          </cell>
          <cell r="N7">
            <v>783.4</v>
          </cell>
          <cell r="O7">
            <v>169.4</v>
          </cell>
          <cell r="P7">
            <v>2.8</v>
          </cell>
          <cell r="Q7">
            <v>47.8</v>
          </cell>
          <cell r="R7">
            <v>0</v>
          </cell>
          <cell r="S7">
            <v>0</v>
          </cell>
          <cell r="T7">
            <v>8047.2</v>
          </cell>
          <cell r="U7">
            <v>1.5</v>
          </cell>
          <cell r="V7">
            <v>6.9</v>
          </cell>
          <cell r="W7">
            <v>5.6</v>
          </cell>
          <cell r="X7">
            <v>27.3</v>
          </cell>
          <cell r="Y7">
            <v>0</v>
          </cell>
          <cell r="Z7">
            <v>2.2000000000000002</v>
          </cell>
          <cell r="AA7">
            <v>0</v>
          </cell>
          <cell r="AB7">
            <v>76.099999999999994</v>
          </cell>
          <cell r="AC7">
            <v>1.2</v>
          </cell>
          <cell r="AD7">
            <v>3.8</v>
          </cell>
          <cell r="AE7">
            <v>0</v>
          </cell>
          <cell r="AF7">
            <v>0</v>
          </cell>
          <cell r="AG7">
            <v>53.9</v>
          </cell>
          <cell r="AH7">
            <v>742.8</v>
          </cell>
          <cell r="AI7">
            <v>0.7</v>
          </cell>
          <cell r="AJ7">
            <v>703.2</v>
          </cell>
          <cell r="AK7">
            <v>1.5</v>
          </cell>
          <cell r="AL7">
            <v>3.3</v>
          </cell>
          <cell r="AM7">
            <v>790.1</v>
          </cell>
          <cell r="AN7">
            <v>3</v>
          </cell>
          <cell r="AO7">
            <v>6.8</v>
          </cell>
          <cell r="AP7">
            <v>6.1</v>
          </cell>
          <cell r="AQ7">
            <v>-0.3</v>
          </cell>
          <cell r="AR7">
            <v>2.2000000000000002</v>
          </cell>
          <cell r="AS7">
            <v>0</v>
          </cell>
          <cell r="AT7">
            <v>1933.6000000000013</v>
          </cell>
          <cell r="AU7">
            <v>4580.7</v>
          </cell>
        </row>
        <row r="8">
          <cell r="L8">
            <v>185</v>
          </cell>
          <cell r="M8">
            <v>991</v>
          </cell>
          <cell r="N8">
            <v>1509</v>
          </cell>
          <cell r="O8">
            <v>628.70000000000005</v>
          </cell>
          <cell r="P8">
            <v>292</v>
          </cell>
          <cell r="Q8">
            <v>383</v>
          </cell>
          <cell r="R8">
            <v>9</v>
          </cell>
          <cell r="S8">
            <v>0</v>
          </cell>
          <cell r="T8">
            <v>17770</v>
          </cell>
          <cell r="U8">
            <v>0</v>
          </cell>
          <cell r="V8">
            <v>86</v>
          </cell>
          <cell r="W8">
            <v>195</v>
          </cell>
          <cell r="X8">
            <v>250</v>
          </cell>
          <cell r="Y8">
            <v>0</v>
          </cell>
          <cell r="Z8">
            <v>58</v>
          </cell>
          <cell r="AA8">
            <v>0</v>
          </cell>
          <cell r="AB8">
            <v>1331</v>
          </cell>
          <cell r="AC8">
            <v>1</v>
          </cell>
          <cell r="AD8">
            <v>27</v>
          </cell>
          <cell r="AE8">
            <v>160</v>
          </cell>
          <cell r="AF8">
            <v>0</v>
          </cell>
          <cell r="AG8">
            <v>171.2</v>
          </cell>
          <cell r="AH8">
            <v>2204</v>
          </cell>
          <cell r="AI8">
            <v>80</v>
          </cell>
          <cell r="AJ8">
            <v>301.89999999999998</v>
          </cell>
          <cell r="AK8">
            <v>127</v>
          </cell>
          <cell r="AL8">
            <v>17</v>
          </cell>
          <cell r="AM8">
            <v>1731.3</v>
          </cell>
          <cell r="AN8">
            <v>21</v>
          </cell>
          <cell r="AO8">
            <v>39</v>
          </cell>
          <cell r="AP8">
            <v>168</v>
          </cell>
          <cell r="AQ8">
            <v>5843</v>
          </cell>
          <cell r="AR8">
            <v>129</v>
          </cell>
          <cell r="AS8">
            <v>44</v>
          </cell>
          <cell r="AT8">
            <v>13834.7</v>
          </cell>
          <cell r="AU8">
            <v>867.90000000000146</v>
          </cell>
        </row>
        <row r="12">
          <cell r="L12" t="str">
            <v>Argentina</v>
          </cell>
          <cell r="M12" t="str">
            <v>Australia</v>
          </cell>
          <cell r="N12" t="str">
            <v>Brazil</v>
          </cell>
          <cell r="O12" t="str">
            <v>Canada</v>
          </cell>
          <cell r="P12" t="str">
            <v>Chile</v>
          </cell>
          <cell r="Q12" t="str">
            <v>China (except Hong Kong)</v>
          </cell>
          <cell r="R12" t="str">
            <v>Egypt</v>
          </cell>
          <cell r="S12" t="str">
            <v>Extra-EU, not allocated</v>
          </cell>
          <cell r="T12" t="str">
            <v>Extra-EU-28</v>
          </cell>
          <cell r="U12" t="str">
            <v>Iceland</v>
          </cell>
          <cell r="V12" t="str">
            <v>India</v>
          </cell>
          <cell r="W12" t="str">
            <v>Indonesia</v>
          </cell>
          <cell r="X12" t="str">
            <v>Japan</v>
          </cell>
          <cell r="Y12" t="str">
            <v>Maghreb</v>
          </cell>
          <cell r="Z12" t="str">
            <v>Malaysia</v>
          </cell>
          <cell r="AA12" t="str">
            <v>Mashrek</v>
          </cell>
          <cell r="AB12" t="str">
            <v>Mexico</v>
          </cell>
          <cell r="AC12" t="str">
            <v>Morocco</v>
          </cell>
          <cell r="AD12" t="str">
            <v>New Zealand</v>
          </cell>
          <cell r="AE12" t="str">
            <v>Nigeria</v>
          </cell>
          <cell r="AF12" t="str">
            <v>Non European International Organizations</v>
          </cell>
          <cell r="AG12" t="str">
            <v>Norway</v>
          </cell>
          <cell r="AH12" t="str">
            <v>Offshore financial centers</v>
          </cell>
          <cell r="AI12" t="str">
            <v>Philippines</v>
          </cell>
          <cell r="AJ12" t="str">
            <v>Russia</v>
          </cell>
          <cell r="AK12" t="str">
            <v>South Africa</v>
          </cell>
          <cell r="AL12" t="str">
            <v>South Korea</v>
          </cell>
          <cell r="AM12" t="str">
            <v>Switzerland</v>
          </cell>
          <cell r="AN12" t="str">
            <v>Taiwan</v>
          </cell>
          <cell r="AO12" t="str">
            <v>Thailand</v>
          </cell>
          <cell r="AP12" t="str">
            <v>Turkey</v>
          </cell>
          <cell r="AQ12" t="str">
            <v>United States</v>
          </cell>
          <cell r="AR12" t="str">
            <v>Uruguay</v>
          </cell>
          <cell r="AS12" t="str">
            <v>Venezuela</v>
          </cell>
          <cell r="AT12" t="str">
            <v>Non-EU Non-Haven</v>
          </cell>
        </row>
        <row r="13">
          <cell r="L13">
            <v>4.0058882736108528</v>
          </cell>
          <cell r="M13">
            <v>68.660925009690018</v>
          </cell>
          <cell r="N13">
            <v>363.81477300933767</v>
          </cell>
          <cell r="O13">
            <v>65.295978859856902</v>
          </cell>
          <cell r="P13">
            <v>22.513092097692994</v>
          </cell>
          <cell r="Q13">
            <v>30.444750879442481</v>
          </cell>
          <cell r="R13">
            <v>16.824730749165582</v>
          </cell>
          <cell r="S13">
            <v>-30.124279817553614</v>
          </cell>
          <cell r="T13">
            <v>2348.5721770525706</v>
          </cell>
          <cell r="U13">
            <v>0.1602355309444341</v>
          </cell>
          <cell r="V13">
            <v>6.0088324104162787</v>
          </cell>
          <cell r="W13">
            <v>2.1631796677498607</v>
          </cell>
          <cell r="X13">
            <v>12.017664820832557</v>
          </cell>
          <cell r="Y13">
            <v>0</v>
          </cell>
          <cell r="Z13">
            <v>7.3708344234439682</v>
          </cell>
          <cell r="AA13">
            <v>0</v>
          </cell>
          <cell r="AB13">
            <v>60.408795166051661</v>
          </cell>
          <cell r="AC13">
            <v>1.1216487166110387</v>
          </cell>
          <cell r="AD13">
            <v>15.062139908776807</v>
          </cell>
          <cell r="AE13">
            <v>21.631796677498603</v>
          </cell>
          <cell r="AF13">
            <v>0</v>
          </cell>
          <cell r="AG13">
            <v>20.750501257304215</v>
          </cell>
          <cell r="AH13">
            <v>76.832937087856152</v>
          </cell>
          <cell r="AI13">
            <v>0.24035329641665115</v>
          </cell>
          <cell r="AJ13">
            <v>277.52793959575985</v>
          </cell>
          <cell r="AK13">
            <v>12.258018117249209</v>
          </cell>
          <cell r="AL13">
            <v>3.6052994462497674</v>
          </cell>
          <cell r="AM13">
            <v>195.9680543450429</v>
          </cell>
          <cell r="AN13">
            <v>0.80117765472217051</v>
          </cell>
          <cell r="AO13">
            <v>7.0503633615551013</v>
          </cell>
          <cell r="AP13">
            <v>35.331934573247722</v>
          </cell>
          <cell r="AQ13">
            <v>-3.2848283843608987</v>
          </cell>
          <cell r="AR13">
            <v>0.72105988924995346</v>
          </cell>
          <cell r="AS13">
            <v>1.0415309511388218</v>
          </cell>
          <cell r="AT13">
            <v>2075.7711856196715</v>
          </cell>
          <cell r="AU13">
            <v>1022.4629229564342</v>
          </cell>
        </row>
        <row r="14">
          <cell r="L14">
            <v>0</v>
          </cell>
          <cell r="M14">
            <v>0</v>
          </cell>
          <cell r="N14">
            <v>0</v>
          </cell>
          <cell r="O14">
            <v>0</v>
          </cell>
          <cell r="P14">
            <v>0</v>
          </cell>
          <cell r="Q14">
            <v>0</v>
          </cell>
          <cell r="R14">
            <v>0</v>
          </cell>
          <cell r="S14">
            <v>787.49453853964303</v>
          </cell>
          <cell r="T14">
            <v>1001.9113683400409</v>
          </cell>
          <cell r="U14">
            <v>0</v>
          </cell>
          <cell r="V14">
            <v>0</v>
          </cell>
          <cell r="W14">
            <v>0</v>
          </cell>
          <cell r="X14">
            <v>0</v>
          </cell>
          <cell r="Y14">
            <v>0</v>
          </cell>
          <cell r="Z14">
            <v>0</v>
          </cell>
          <cell r="AA14">
            <v>0</v>
          </cell>
          <cell r="AB14">
            <v>0</v>
          </cell>
          <cell r="AC14">
            <v>0</v>
          </cell>
          <cell r="AD14">
            <v>0</v>
          </cell>
          <cell r="AE14">
            <v>0</v>
          </cell>
          <cell r="AF14">
            <v>0</v>
          </cell>
          <cell r="AG14">
            <v>0</v>
          </cell>
          <cell r="AH14">
            <v>43.857987913717743</v>
          </cell>
          <cell r="AI14">
            <v>0</v>
          </cell>
          <cell r="AJ14">
            <v>133.52320764842958</v>
          </cell>
          <cell r="AK14">
            <v>0</v>
          </cell>
          <cell r="AL14">
            <v>0</v>
          </cell>
          <cell r="AM14">
            <v>6.2375805032843008</v>
          </cell>
          <cell r="AN14">
            <v>0</v>
          </cell>
          <cell r="AO14">
            <v>0</v>
          </cell>
          <cell r="AP14">
            <v>0</v>
          </cell>
          <cell r="AQ14">
            <v>-0.19492439072763443</v>
          </cell>
          <cell r="AR14">
            <v>0</v>
          </cell>
          <cell r="AS14">
            <v>0</v>
          </cell>
          <cell r="AT14">
            <v>951.81579992303887</v>
          </cell>
          <cell r="AU14">
            <v>818.4875166653369</v>
          </cell>
        </row>
        <row r="15">
          <cell r="L15">
            <v>0</v>
          </cell>
          <cell r="M15">
            <v>0</v>
          </cell>
          <cell r="N15">
            <v>0</v>
          </cell>
          <cell r="O15">
            <v>-24.9030019738824</v>
          </cell>
          <cell r="P15">
            <v>0</v>
          </cell>
          <cell r="Q15">
            <v>0</v>
          </cell>
          <cell r="R15">
            <v>0</v>
          </cell>
          <cell r="S15">
            <v>-49.432458918156563</v>
          </cell>
          <cell r="T15">
            <v>-1942.4341539628272</v>
          </cell>
          <cell r="U15">
            <v>0</v>
          </cell>
          <cell r="V15">
            <v>0</v>
          </cell>
          <cell r="W15">
            <v>0</v>
          </cell>
          <cell r="X15">
            <v>0</v>
          </cell>
          <cell r="Y15">
            <v>0</v>
          </cell>
          <cell r="Z15">
            <v>0</v>
          </cell>
          <cell r="AA15">
            <v>0</v>
          </cell>
          <cell r="AB15">
            <v>51.051154046458919</v>
          </cell>
          <cell r="AC15">
            <v>0</v>
          </cell>
          <cell r="AD15">
            <v>0</v>
          </cell>
          <cell r="AE15">
            <v>0</v>
          </cell>
          <cell r="AF15">
            <v>0</v>
          </cell>
          <cell r="AG15">
            <v>0</v>
          </cell>
          <cell r="AH15">
            <v>-180.5467643106474</v>
          </cell>
          <cell r="AI15">
            <v>0</v>
          </cell>
          <cell r="AJ15">
            <v>-14.941801184329439</v>
          </cell>
          <cell r="AK15">
            <v>0</v>
          </cell>
          <cell r="AL15">
            <v>0</v>
          </cell>
          <cell r="AM15">
            <v>188.64023995215916</v>
          </cell>
          <cell r="AN15">
            <v>0</v>
          </cell>
          <cell r="AO15">
            <v>0</v>
          </cell>
          <cell r="AP15">
            <v>0</v>
          </cell>
          <cell r="AQ15">
            <v>-5.4786604342541283</v>
          </cell>
          <cell r="AR15">
            <v>0</v>
          </cell>
          <cell r="AS15">
            <v>0</v>
          </cell>
          <cell r="AT15">
            <v>-1950.5276296043389</v>
          </cell>
          <cell r="AU15">
            <v>-1956.2553200583318</v>
          </cell>
        </row>
        <row r="16">
          <cell r="L16">
            <v>0</v>
          </cell>
          <cell r="M16">
            <v>177.4249156276361</v>
          </cell>
          <cell r="N16">
            <v>320.26122881276211</v>
          </cell>
          <cell r="O16">
            <v>0</v>
          </cell>
          <cell r="P16">
            <v>33.516842930206927</v>
          </cell>
          <cell r="Q16">
            <v>26.599122441704917</v>
          </cell>
          <cell r="R16">
            <v>0</v>
          </cell>
          <cell r="S16">
            <v>0</v>
          </cell>
          <cell r="T16">
            <v>4513.0818736255378</v>
          </cell>
          <cell r="U16">
            <v>0.68202878055653637</v>
          </cell>
          <cell r="V16">
            <v>17.343017562723354</v>
          </cell>
          <cell r="W16">
            <v>0</v>
          </cell>
          <cell r="X16">
            <v>0</v>
          </cell>
          <cell r="Y16">
            <v>0</v>
          </cell>
          <cell r="Z16">
            <v>33.906573661953516</v>
          </cell>
          <cell r="AA16">
            <v>0</v>
          </cell>
          <cell r="AB16">
            <v>161.25109026015252</v>
          </cell>
          <cell r="AC16">
            <v>3.1178458539727378</v>
          </cell>
          <cell r="AD16">
            <v>0</v>
          </cell>
          <cell r="AE16">
            <v>0</v>
          </cell>
          <cell r="AF16">
            <v>0</v>
          </cell>
          <cell r="AG16">
            <v>0</v>
          </cell>
          <cell r="AH16">
            <v>1353.3399659900415</v>
          </cell>
          <cell r="AI16">
            <v>1.1691921952397766</v>
          </cell>
          <cell r="AJ16">
            <v>33.906573661953516</v>
          </cell>
          <cell r="AK16">
            <v>59.531369274291961</v>
          </cell>
          <cell r="AL16">
            <v>11.984220001207712</v>
          </cell>
          <cell r="AM16">
            <v>596.48288493815937</v>
          </cell>
          <cell r="AN16">
            <v>9.8407009766014522</v>
          </cell>
          <cell r="AO16">
            <v>7.599749269058548</v>
          </cell>
          <cell r="AP16">
            <v>25.235064880591842</v>
          </cell>
          <cell r="AQ16">
            <v>-17.148152196850059</v>
          </cell>
          <cell r="AR16">
            <v>3.7024419515926259</v>
          </cell>
          <cell r="AS16">
            <v>5.456230244452291</v>
          </cell>
          <cell r="AT16">
            <v>2563.2590226973371</v>
          </cell>
          <cell r="AU16">
            <v>1649.0481587027675</v>
          </cell>
        </row>
        <row r="17">
          <cell r="L17">
            <v>0.69452446081304131</v>
          </cell>
          <cell r="M17">
            <v>25.002880589269488</v>
          </cell>
          <cell r="N17">
            <v>777.27208942990944</v>
          </cell>
          <cell r="O17">
            <v>168.07491951675601</v>
          </cell>
          <cell r="P17">
            <v>2.7780978432521652</v>
          </cell>
          <cell r="Q17">
            <v>47.426098895519111</v>
          </cell>
          <cell r="R17">
            <v>0</v>
          </cell>
          <cell r="S17">
            <v>0</v>
          </cell>
          <cell r="T17">
            <v>7984.2532015067236</v>
          </cell>
          <cell r="U17">
            <v>1.4882667017422315</v>
          </cell>
          <cell r="V17">
            <v>6.8460268280142653</v>
          </cell>
          <cell r="W17">
            <v>5.5561956865043305</v>
          </cell>
          <cell r="X17">
            <v>27.086453971708615</v>
          </cell>
          <cell r="Y17">
            <v>0</v>
          </cell>
          <cell r="Z17">
            <v>2.1827911625552732</v>
          </cell>
          <cell r="AA17">
            <v>0</v>
          </cell>
          <cell r="AB17">
            <v>75.5047306683892</v>
          </cell>
          <cell r="AC17">
            <v>1.1906133613937853</v>
          </cell>
          <cell r="AD17">
            <v>3.7702756444136529</v>
          </cell>
          <cell r="AE17">
            <v>0</v>
          </cell>
          <cell r="AF17">
            <v>0</v>
          </cell>
          <cell r="AG17">
            <v>53.478383482604187</v>
          </cell>
          <cell r="AH17">
            <v>736.98967070275296</v>
          </cell>
          <cell r="AI17">
            <v>0.69452446081304131</v>
          </cell>
          <cell r="AJ17">
            <v>697.69942977675817</v>
          </cell>
          <cell r="AK17">
            <v>1.4882667017422315</v>
          </cell>
          <cell r="AL17">
            <v>3.2741867438329093</v>
          </cell>
          <cell r="AM17">
            <v>783.91968069769143</v>
          </cell>
          <cell r="AN17">
            <v>2.976533403484463</v>
          </cell>
          <cell r="AO17">
            <v>6.7468090478981164</v>
          </cell>
          <cell r="AP17">
            <v>6.0522845870850741</v>
          </cell>
          <cell r="AQ17">
            <v>-0.29765334034844632</v>
          </cell>
          <cell r="AR17">
            <v>2.1827911625552732</v>
          </cell>
          <cell r="AS17">
            <v>0</v>
          </cell>
          <cell r="AT17">
            <v>1918.4749963258539</v>
          </cell>
          <cell r="AU17">
            <v>4544.8688537804264</v>
          </cell>
        </row>
        <row r="18">
          <cell r="L18">
            <v>173.28903044781487</v>
          </cell>
          <cell r="M18">
            <v>928.26718472315963</v>
          </cell>
          <cell r="N18">
            <v>1413.4764699770412</v>
          </cell>
          <cell r="O18">
            <v>588.90169428400657</v>
          </cell>
          <cell r="P18">
            <v>273.51565886898345</v>
          </cell>
          <cell r="Q18">
            <v>358.75512790007082</v>
          </cell>
          <cell r="R18">
            <v>8.4302771569207238</v>
          </cell>
          <cell r="S18">
            <v>0</v>
          </cell>
          <cell r="T18">
            <v>16645.11389760903</v>
          </cell>
          <cell r="U18">
            <v>0</v>
          </cell>
          <cell r="V18">
            <v>80.555981721686919</v>
          </cell>
          <cell r="W18">
            <v>182.65600506661568</v>
          </cell>
          <cell r="X18">
            <v>234.17436547002009</v>
          </cell>
          <cell r="Y18">
            <v>0</v>
          </cell>
          <cell r="Z18">
            <v>54.328452789044661</v>
          </cell>
          <cell r="AA18">
            <v>0</v>
          </cell>
          <cell r="AB18">
            <v>1246.744321762387</v>
          </cell>
          <cell r="AC18">
            <v>0.93669746188008041</v>
          </cell>
          <cell r="AD18">
            <v>25.290831470762171</v>
          </cell>
          <cell r="AE18">
            <v>149.87159390081285</v>
          </cell>
          <cell r="AF18">
            <v>0</v>
          </cell>
          <cell r="AG18">
            <v>160.36260547386976</v>
          </cell>
          <cell r="AH18">
            <v>2064.4812059836972</v>
          </cell>
          <cell r="AI18">
            <v>74.935796950406427</v>
          </cell>
          <cell r="AJ18">
            <v>282.78896374159626</v>
          </cell>
          <cell r="AK18">
            <v>118.96057765877021</v>
          </cell>
          <cell r="AL18">
            <v>15.923856851961366</v>
          </cell>
          <cell r="AM18">
            <v>1621.7043157529831</v>
          </cell>
          <cell r="AN18">
            <v>19.67064669948169</v>
          </cell>
          <cell r="AO18">
            <v>36.531201013323134</v>
          </cell>
          <cell r="AP18">
            <v>157.36517359585352</v>
          </cell>
          <cell r="AQ18">
            <v>5473.1232697653095</v>
          </cell>
          <cell r="AR18">
            <v>120.83397258253038</v>
          </cell>
          <cell r="AS18">
            <v>41.214688322723539</v>
          </cell>
          <cell r="AT18">
            <v>12958.928375872349</v>
          </cell>
          <cell r="AU18">
            <v>812.95972716572317</v>
          </cell>
        </row>
      </sheetData>
      <sheetData sheetId="53" refreshError="1"/>
      <sheetData sheetId="54">
        <row r="2">
          <cell r="B2">
            <v>2003</v>
          </cell>
          <cell r="C2">
            <v>2004</v>
          </cell>
          <cell r="D2">
            <v>2005</v>
          </cell>
          <cell r="E2">
            <v>2006</v>
          </cell>
          <cell r="F2">
            <v>2007</v>
          </cell>
          <cell r="G2">
            <v>2008</v>
          </cell>
          <cell r="H2">
            <v>2009</v>
          </cell>
          <cell r="I2">
            <v>2010</v>
          </cell>
          <cell r="J2">
            <v>2011</v>
          </cell>
          <cell r="K2">
            <v>2012</v>
          </cell>
          <cell r="L2">
            <v>2013</v>
          </cell>
          <cell r="M2">
            <v>2014</v>
          </cell>
          <cell r="N2">
            <v>2015</v>
          </cell>
          <cell r="O2">
            <v>2016</v>
          </cell>
          <cell r="P2">
            <v>2017</v>
          </cell>
          <cell r="Q2">
            <v>2019</v>
          </cell>
          <cell r="S2" t="str">
            <v>Avg. 2010-2015</v>
          </cell>
        </row>
        <row r="3">
          <cell r="A3" t="str">
            <v>Afghanistan</v>
          </cell>
          <cell r="B3">
            <v>0</v>
          </cell>
          <cell r="C3">
            <v>0</v>
          </cell>
          <cell r="D3">
            <v>0</v>
          </cell>
          <cell r="E3">
            <v>0</v>
          </cell>
          <cell r="F3">
            <v>20</v>
          </cell>
          <cell r="G3">
            <v>20</v>
          </cell>
          <cell r="H3">
            <v>20</v>
          </cell>
          <cell r="I3">
            <v>20</v>
          </cell>
          <cell r="J3">
            <v>20</v>
          </cell>
          <cell r="K3">
            <v>20</v>
          </cell>
          <cell r="L3">
            <v>20</v>
          </cell>
          <cell r="M3">
            <v>20</v>
          </cell>
          <cell r="N3">
            <v>20</v>
          </cell>
          <cell r="O3">
            <v>20</v>
          </cell>
          <cell r="P3">
            <v>20</v>
          </cell>
          <cell r="Q3">
            <v>20</v>
          </cell>
          <cell r="S3">
            <v>20</v>
          </cell>
        </row>
        <row r="4">
          <cell r="A4" t="str">
            <v>Albania</v>
          </cell>
          <cell r="B4">
            <v>25</v>
          </cell>
          <cell r="C4">
            <v>25</v>
          </cell>
          <cell r="D4">
            <v>23</v>
          </cell>
          <cell r="E4">
            <v>20</v>
          </cell>
          <cell r="F4">
            <v>20</v>
          </cell>
          <cell r="G4">
            <v>10</v>
          </cell>
          <cell r="H4">
            <v>10</v>
          </cell>
          <cell r="I4">
            <v>10</v>
          </cell>
          <cell r="J4">
            <v>10</v>
          </cell>
          <cell r="K4">
            <v>10</v>
          </cell>
          <cell r="L4">
            <v>10</v>
          </cell>
          <cell r="M4">
            <v>15</v>
          </cell>
          <cell r="N4">
            <v>15</v>
          </cell>
          <cell r="O4">
            <v>15</v>
          </cell>
          <cell r="P4">
            <v>15</v>
          </cell>
          <cell r="Q4">
            <v>15</v>
          </cell>
          <cell r="S4">
            <v>11.666666666666666</v>
          </cell>
        </row>
        <row r="5">
          <cell r="A5" t="str">
            <v>Algeria</v>
          </cell>
          <cell r="L5">
            <v>25</v>
          </cell>
          <cell r="M5">
            <v>19</v>
          </cell>
          <cell r="N5">
            <v>26</v>
          </cell>
          <cell r="O5">
            <v>26</v>
          </cell>
          <cell r="P5">
            <v>26</v>
          </cell>
          <cell r="Q5">
            <v>26</v>
          </cell>
          <cell r="S5">
            <v>23.333333333333332</v>
          </cell>
        </row>
        <row r="6">
          <cell r="A6" t="str">
            <v>Andorra</v>
          </cell>
          <cell r="P6">
            <v>10</v>
          </cell>
          <cell r="Q6">
            <v>10</v>
          </cell>
          <cell r="S6" t="e">
            <v>#DIV/0!</v>
          </cell>
        </row>
        <row r="7">
          <cell r="A7" t="str">
            <v>Angola</v>
          </cell>
          <cell r="B7">
            <v>35</v>
          </cell>
          <cell r="C7">
            <v>35</v>
          </cell>
          <cell r="D7">
            <v>35</v>
          </cell>
          <cell r="E7">
            <v>35</v>
          </cell>
          <cell r="F7">
            <v>35</v>
          </cell>
          <cell r="G7">
            <v>35</v>
          </cell>
          <cell r="H7">
            <v>35</v>
          </cell>
          <cell r="I7">
            <v>35</v>
          </cell>
          <cell r="J7">
            <v>35</v>
          </cell>
          <cell r="K7">
            <v>35</v>
          </cell>
          <cell r="L7">
            <v>35</v>
          </cell>
          <cell r="M7">
            <v>35</v>
          </cell>
          <cell r="N7">
            <v>30</v>
          </cell>
          <cell r="O7">
            <v>30</v>
          </cell>
          <cell r="P7">
            <v>30</v>
          </cell>
          <cell r="Q7">
            <v>30</v>
          </cell>
          <cell r="S7">
            <v>34.166666666666664</v>
          </cell>
        </row>
        <row r="8">
          <cell r="A8" t="str">
            <v>Anguilla</v>
          </cell>
          <cell r="P8">
            <v>0</v>
          </cell>
          <cell r="Q8">
            <v>0</v>
          </cell>
          <cell r="S8" t="e">
            <v>#DIV/0!</v>
          </cell>
        </row>
        <row r="9">
          <cell r="A9" t="str">
            <v>Antigua and Barbuda</v>
          </cell>
          <cell r="P9">
            <v>25</v>
          </cell>
          <cell r="Q9">
            <v>25</v>
          </cell>
          <cell r="S9" t="e">
            <v>#DIV/0!</v>
          </cell>
        </row>
        <row r="10">
          <cell r="A10" t="str">
            <v>Argentina</v>
          </cell>
          <cell r="B10">
            <v>35</v>
          </cell>
          <cell r="C10">
            <v>35</v>
          </cell>
          <cell r="D10">
            <v>35</v>
          </cell>
          <cell r="E10">
            <v>35</v>
          </cell>
          <cell r="F10">
            <v>35</v>
          </cell>
          <cell r="G10">
            <v>35</v>
          </cell>
          <cell r="H10">
            <v>35</v>
          </cell>
          <cell r="I10">
            <v>35</v>
          </cell>
          <cell r="J10">
            <v>35</v>
          </cell>
          <cell r="K10">
            <v>35</v>
          </cell>
          <cell r="L10">
            <v>35</v>
          </cell>
          <cell r="M10">
            <v>35</v>
          </cell>
          <cell r="N10">
            <v>35</v>
          </cell>
          <cell r="O10">
            <v>35</v>
          </cell>
          <cell r="P10">
            <v>35</v>
          </cell>
          <cell r="Q10">
            <v>30</v>
          </cell>
          <cell r="S10">
            <v>35</v>
          </cell>
        </row>
        <row r="11">
          <cell r="A11" t="str">
            <v>Armenia</v>
          </cell>
          <cell r="B11">
            <v>20</v>
          </cell>
          <cell r="C11">
            <v>20</v>
          </cell>
          <cell r="D11">
            <v>20</v>
          </cell>
          <cell r="E11">
            <v>20</v>
          </cell>
          <cell r="F11">
            <v>20</v>
          </cell>
          <cell r="G11">
            <v>20</v>
          </cell>
          <cell r="H11">
            <v>20</v>
          </cell>
          <cell r="I11">
            <v>20</v>
          </cell>
          <cell r="J11">
            <v>20</v>
          </cell>
          <cell r="K11">
            <v>20</v>
          </cell>
          <cell r="L11">
            <v>20</v>
          </cell>
          <cell r="M11">
            <v>20</v>
          </cell>
          <cell r="N11">
            <v>20</v>
          </cell>
          <cell r="O11">
            <v>20</v>
          </cell>
          <cell r="P11">
            <v>20</v>
          </cell>
          <cell r="Q11">
            <v>20</v>
          </cell>
          <cell r="S11">
            <v>20</v>
          </cell>
        </row>
        <row r="12">
          <cell r="A12" t="str">
            <v>Aruba</v>
          </cell>
          <cell r="D12">
            <v>35</v>
          </cell>
          <cell r="E12">
            <v>35</v>
          </cell>
          <cell r="F12">
            <v>28</v>
          </cell>
          <cell r="G12">
            <v>28</v>
          </cell>
          <cell r="H12">
            <v>28</v>
          </cell>
          <cell r="I12">
            <v>28</v>
          </cell>
          <cell r="J12">
            <v>28</v>
          </cell>
          <cell r="K12">
            <v>28</v>
          </cell>
          <cell r="L12">
            <v>28</v>
          </cell>
          <cell r="M12">
            <v>28</v>
          </cell>
          <cell r="N12">
            <v>25</v>
          </cell>
          <cell r="O12">
            <v>25</v>
          </cell>
          <cell r="P12">
            <v>25</v>
          </cell>
          <cell r="Q12">
            <v>25</v>
          </cell>
          <cell r="S12">
            <v>27.5</v>
          </cell>
        </row>
        <row r="13">
          <cell r="A13" t="str">
            <v>Australia</v>
          </cell>
          <cell r="B13">
            <v>30</v>
          </cell>
          <cell r="C13">
            <v>30</v>
          </cell>
          <cell r="D13">
            <v>30</v>
          </cell>
          <cell r="E13">
            <v>30</v>
          </cell>
          <cell r="F13">
            <v>30</v>
          </cell>
          <cell r="G13">
            <v>30</v>
          </cell>
          <cell r="H13">
            <v>30</v>
          </cell>
          <cell r="I13">
            <v>30</v>
          </cell>
          <cell r="J13">
            <v>30</v>
          </cell>
          <cell r="K13">
            <v>30</v>
          </cell>
          <cell r="L13">
            <v>30</v>
          </cell>
          <cell r="M13">
            <v>30</v>
          </cell>
          <cell r="N13">
            <v>30</v>
          </cell>
          <cell r="O13">
            <v>30</v>
          </cell>
          <cell r="P13">
            <v>30</v>
          </cell>
          <cell r="Q13">
            <v>30</v>
          </cell>
          <cell r="S13">
            <v>30</v>
          </cell>
        </row>
        <row r="14">
          <cell r="A14" t="str">
            <v>Austria</v>
          </cell>
          <cell r="B14">
            <v>34</v>
          </cell>
          <cell r="C14">
            <v>34</v>
          </cell>
          <cell r="D14">
            <v>25</v>
          </cell>
          <cell r="E14">
            <v>25</v>
          </cell>
          <cell r="F14">
            <v>25</v>
          </cell>
          <cell r="G14">
            <v>25</v>
          </cell>
          <cell r="H14">
            <v>25</v>
          </cell>
          <cell r="I14">
            <v>25</v>
          </cell>
          <cell r="J14">
            <v>25</v>
          </cell>
          <cell r="K14">
            <v>25</v>
          </cell>
          <cell r="L14">
            <v>25</v>
          </cell>
          <cell r="M14">
            <v>25</v>
          </cell>
          <cell r="N14">
            <v>25</v>
          </cell>
          <cell r="O14">
            <v>25</v>
          </cell>
          <cell r="P14">
            <v>25</v>
          </cell>
          <cell r="Q14">
            <v>25</v>
          </cell>
          <cell r="S14">
            <v>25</v>
          </cell>
        </row>
        <row r="15">
          <cell r="A15" t="str">
            <v>Azerbaijan</v>
          </cell>
          <cell r="P15">
            <v>20</v>
          </cell>
          <cell r="Q15">
            <v>20</v>
          </cell>
          <cell r="S15" t="e">
            <v>#DIV/0!</v>
          </cell>
        </row>
        <row r="16">
          <cell r="A16" t="str">
            <v>Bahamas</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S16">
            <v>0</v>
          </cell>
        </row>
        <row r="17">
          <cell r="A17" t="str">
            <v>Bahrain</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row>
        <row r="18">
          <cell r="A18" t="str">
            <v>Bangladesh</v>
          </cell>
          <cell r="B18">
            <v>30</v>
          </cell>
          <cell r="C18">
            <v>30</v>
          </cell>
          <cell r="D18">
            <v>30</v>
          </cell>
          <cell r="E18">
            <v>30</v>
          </cell>
          <cell r="F18">
            <v>30</v>
          </cell>
          <cell r="G18">
            <v>30</v>
          </cell>
          <cell r="H18">
            <v>27.5</v>
          </cell>
          <cell r="I18">
            <v>27.5</v>
          </cell>
          <cell r="J18">
            <v>27.5</v>
          </cell>
          <cell r="K18">
            <v>27.5</v>
          </cell>
          <cell r="L18">
            <v>27.5</v>
          </cell>
          <cell r="M18">
            <v>27.5</v>
          </cell>
          <cell r="N18">
            <v>25</v>
          </cell>
          <cell r="O18">
            <v>25</v>
          </cell>
          <cell r="P18">
            <v>25</v>
          </cell>
          <cell r="Q18">
            <v>25</v>
          </cell>
          <cell r="S18">
            <v>27.083333333333332</v>
          </cell>
        </row>
        <row r="19">
          <cell r="A19" t="str">
            <v>Barbados</v>
          </cell>
          <cell r="B19">
            <v>36</v>
          </cell>
          <cell r="C19">
            <v>33</v>
          </cell>
          <cell r="D19">
            <v>30</v>
          </cell>
          <cell r="E19">
            <v>25</v>
          </cell>
          <cell r="F19">
            <v>25</v>
          </cell>
          <cell r="G19">
            <v>25</v>
          </cell>
          <cell r="H19">
            <v>25</v>
          </cell>
          <cell r="I19">
            <v>25</v>
          </cell>
          <cell r="J19">
            <v>25</v>
          </cell>
          <cell r="K19">
            <v>25</v>
          </cell>
          <cell r="L19">
            <v>25</v>
          </cell>
          <cell r="M19">
            <v>25</v>
          </cell>
          <cell r="N19">
            <v>25</v>
          </cell>
          <cell r="O19">
            <v>25</v>
          </cell>
          <cell r="P19">
            <v>25</v>
          </cell>
          <cell r="Q19">
            <v>5.5</v>
          </cell>
          <cell r="S19">
            <v>25</v>
          </cell>
        </row>
        <row r="20">
          <cell r="A20" t="str">
            <v>Belarus</v>
          </cell>
          <cell r="B20">
            <v>24</v>
          </cell>
          <cell r="C20">
            <v>24</v>
          </cell>
          <cell r="D20">
            <v>24</v>
          </cell>
          <cell r="E20">
            <v>24</v>
          </cell>
          <cell r="F20">
            <v>24</v>
          </cell>
          <cell r="G20">
            <v>24</v>
          </cell>
          <cell r="H20">
            <v>24</v>
          </cell>
          <cell r="I20">
            <v>24</v>
          </cell>
          <cell r="J20">
            <v>24</v>
          </cell>
          <cell r="K20">
            <v>18</v>
          </cell>
          <cell r="L20">
            <v>18</v>
          </cell>
          <cell r="M20">
            <v>18</v>
          </cell>
          <cell r="N20">
            <v>18</v>
          </cell>
          <cell r="O20">
            <v>18</v>
          </cell>
          <cell r="P20">
            <v>18</v>
          </cell>
          <cell r="Q20">
            <v>18</v>
          </cell>
          <cell r="S20">
            <v>20</v>
          </cell>
        </row>
        <row r="21">
          <cell r="A21" t="str">
            <v>Belgium</v>
          </cell>
          <cell r="B21">
            <v>33.99</v>
          </cell>
          <cell r="C21">
            <v>33.99</v>
          </cell>
          <cell r="D21">
            <v>33.99</v>
          </cell>
          <cell r="E21">
            <v>33.99</v>
          </cell>
          <cell r="F21">
            <v>33.99</v>
          </cell>
          <cell r="G21">
            <v>33.99</v>
          </cell>
          <cell r="H21">
            <v>33.99</v>
          </cell>
          <cell r="I21">
            <v>33.99</v>
          </cell>
          <cell r="J21">
            <v>33.99</v>
          </cell>
          <cell r="K21">
            <v>33.99</v>
          </cell>
          <cell r="L21">
            <v>33.99</v>
          </cell>
          <cell r="M21">
            <v>33.99</v>
          </cell>
          <cell r="N21">
            <v>33.99</v>
          </cell>
          <cell r="O21">
            <v>33.99</v>
          </cell>
          <cell r="P21">
            <v>33.99</v>
          </cell>
          <cell r="Q21">
            <v>29</v>
          </cell>
          <cell r="S21">
            <v>33.99</v>
          </cell>
        </row>
        <row r="22">
          <cell r="A22" t="str">
            <v>Benin</v>
          </cell>
          <cell r="P22">
            <v>30</v>
          </cell>
          <cell r="Q22">
            <v>30</v>
          </cell>
          <cell r="S22" t="e">
            <v>#DIV/0!</v>
          </cell>
        </row>
        <row r="23">
          <cell r="A23" t="str">
            <v>Bermuda</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row>
        <row r="24">
          <cell r="A24" t="str">
            <v>Bolivia</v>
          </cell>
          <cell r="I24">
            <v>25</v>
          </cell>
          <cell r="J24">
            <v>25</v>
          </cell>
          <cell r="K24">
            <v>25</v>
          </cell>
          <cell r="L24">
            <v>25</v>
          </cell>
          <cell r="M24">
            <v>25</v>
          </cell>
          <cell r="N24">
            <v>25</v>
          </cell>
          <cell r="O24">
            <v>25</v>
          </cell>
          <cell r="P24">
            <v>25</v>
          </cell>
          <cell r="Q24">
            <v>25</v>
          </cell>
          <cell r="S24">
            <v>25</v>
          </cell>
        </row>
        <row r="25">
          <cell r="A25" t="str">
            <v>Bonaire, Saint Eustatius and Saba</v>
          </cell>
          <cell r="K25">
            <v>0</v>
          </cell>
          <cell r="L25">
            <v>0</v>
          </cell>
          <cell r="M25">
            <v>0</v>
          </cell>
          <cell r="N25">
            <v>0</v>
          </cell>
          <cell r="O25">
            <v>0</v>
          </cell>
          <cell r="P25">
            <v>25</v>
          </cell>
          <cell r="Q25">
            <v>25</v>
          </cell>
          <cell r="S25">
            <v>0</v>
          </cell>
        </row>
        <row r="26">
          <cell r="A26" t="str">
            <v>Bosnia and Herzegovina</v>
          </cell>
          <cell r="B26">
            <v>10</v>
          </cell>
          <cell r="C26">
            <v>10</v>
          </cell>
          <cell r="D26">
            <v>10</v>
          </cell>
          <cell r="E26">
            <v>10</v>
          </cell>
          <cell r="F26">
            <v>10</v>
          </cell>
          <cell r="G26">
            <v>10</v>
          </cell>
          <cell r="H26">
            <v>10</v>
          </cell>
          <cell r="I26">
            <v>10</v>
          </cell>
          <cell r="J26">
            <v>10</v>
          </cell>
          <cell r="K26">
            <v>10</v>
          </cell>
          <cell r="L26">
            <v>10</v>
          </cell>
          <cell r="M26">
            <v>10</v>
          </cell>
          <cell r="N26">
            <v>10</v>
          </cell>
          <cell r="O26">
            <v>10</v>
          </cell>
          <cell r="P26">
            <v>10</v>
          </cell>
          <cell r="Q26">
            <v>10</v>
          </cell>
          <cell r="S26">
            <v>10</v>
          </cell>
        </row>
        <row r="27">
          <cell r="A27" t="str">
            <v>Botswana</v>
          </cell>
          <cell r="B27">
            <v>25</v>
          </cell>
          <cell r="C27">
            <v>25</v>
          </cell>
          <cell r="D27">
            <v>25</v>
          </cell>
          <cell r="E27">
            <v>25</v>
          </cell>
          <cell r="F27">
            <v>25</v>
          </cell>
          <cell r="G27">
            <v>25</v>
          </cell>
          <cell r="H27">
            <v>25</v>
          </cell>
          <cell r="I27">
            <v>25</v>
          </cell>
          <cell r="J27">
            <v>22</v>
          </cell>
          <cell r="K27">
            <v>22</v>
          </cell>
          <cell r="L27">
            <v>22</v>
          </cell>
          <cell r="M27">
            <v>22</v>
          </cell>
          <cell r="N27">
            <v>22</v>
          </cell>
          <cell r="O27">
            <v>22</v>
          </cell>
          <cell r="P27">
            <v>22</v>
          </cell>
          <cell r="Q27">
            <v>22</v>
          </cell>
          <cell r="S27">
            <v>22.5</v>
          </cell>
        </row>
        <row r="28">
          <cell r="A28" t="str">
            <v>Brazil</v>
          </cell>
          <cell r="B28">
            <v>34</v>
          </cell>
          <cell r="C28">
            <v>34</v>
          </cell>
          <cell r="D28">
            <v>34</v>
          </cell>
          <cell r="E28">
            <v>34</v>
          </cell>
          <cell r="F28">
            <v>34</v>
          </cell>
          <cell r="G28">
            <v>34</v>
          </cell>
          <cell r="H28">
            <v>34</v>
          </cell>
          <cell r="I28">
            <v>34</v>
          </cell>
          <cell r="J28">
            <v>34</v>
          </cell>
          <cell r="K28">
            <v>34</v>
          </cell>
          <cell r="L28">
            <v>34</v>
          </cell>
          <cell r="M28">
            <v>34</v>
          </cell>
          <cell r="N28">
            <v>34</v>
          </cell>
          <cell r="O28">
            <v>34</v>
          </cell>
          <cell r="P28">
            <v>34</v>
          </cell>
          <cell r="Q28">
            <v>34</v>
          </cell>
          <cell r="S28">
            <v>34</v>
          </cell>
        </row>
        <row r="29">
          <cell r="A29" t="str">
            <v>Brunei Darussalam</v>
          </cell>
          <cell r="P29">
            <v>18.5</v>
          </cell>
          <cell r="Q29">
            <v>18.5</v>
          </cell>
          <cell r="S29" t="e">
            <v>#DIV/0!</v>
          </cell>
        </row>
        <row r="30">
          <cell r="A30" t="str">
            <v>Bulgaria</v>
          </cell>
          <cell r="B30">
            <v>23.5</v>
          </cell>
          <cell r="C30">
            <v>19.5</v>
          </cell>
          <cell r="D30">
            <v>15</v>
          </cell>
          <cell r="E30">
            <v>15</v>
          </cell>
          <cell r="F30">
            <v>10</v>
          </cell>
          <cell r="G30">
            <v>10</v>
          </cell>
          <cell r="H30">
            <v>10</v>
          </cell>
          <cell r="I30">
            <v>10</v>
          </cell>
          <cell r="J30">
            <v>10</v>
          </cell>
          <cell r="K30">
            <v>10</v>
          </cell>
          <cell r="L30">
            <v>10</v>
          </cell>
          <cell r="M30">
            <v>10</v>
          </cell>
          <cell r="N30">
            <v>10</v>
          </cell>
          <cell r="O30">
            <v>10</v>
          </cell>
          <cell r="P30">
            <v>10</v>
          </cell>
          <cell r="Q30">
            <v>10</v>
          </cell>
          <cell r="S30">
            <v>10</v>
          </cell>
        </row>
        <row r="31">
          <cell r="A31" t="str">
            <v>Burkina Faso</v>
          </cell>
          <cell r="P31">
            <v>27.5</v>
          </cell>
          <cell r="Q31">
            <v>28</v>
          </cell>
          <cell r="S31" t="e">
            <v>#DIV/0!</v>
          </cell>
        </row>
        <row r="32">
          <cell r="A32" t="str">
            <v>Burundi</v>
          </cell>
          <cell r="P32">
            <v>30</v>
          </cell>
          <cell r="Q32">
            <v>30</v>
          </cell>
          <cell r="S32" t="e">
            <v>#DIV/0!</v>
          </cell>
        </row>
        <row r="33">
          <cell r="A33" t="str">
            <v>Cambodia</v>
          </cell>
          <cell r="I33">
            <v>20</v>
          </cell>
          <cell r="J33">
            <v>20</v>
          </cell>
          <cell r="K33">
            <v>20</v>
          </cell>
          <cell r="L33">
            <v>20</v>
          </cell>
          <cell r="M33">
            <v>20</v>
          </cell>
          <cell r="N33">
            <v>20</v>
          </cell>
          <cell r="O33">
            <v>20</v>
          </cell>
          <cell r="P33">
            <v>20</v>
          </cell>
          <cell r="Q33">
            <v>20</v>
          </cell>
          <cell r="S33">
            <v>20</v>
          </cell>
        </row>
        <row r="34">
          <cell r="A34" t="str">
            <v>Cameroon</v>
          </cell>
          <cell r="N34">
            <v>33</v>
          </cell>
          <cell r="O34">
            <v>33</v>
          </cell>
          <cell r="P34">
            <v>33</v>
          </cell>
          <cell r="Q34">
            <v>33</v>
          </cell>
          <cell r="S34">
            <v>33</v>
          </cell>
        </row>
        <row r="35">
          <cell r="A35" t="str">
            <v>Canada</v>
          </cell>
          <cell r="B35">
            <v>36.6</v>
          </cell>
          <cell r="C35">
            <v>36.1</v>
          </cell>
          <cell r="D35">
            <v>36.1</v>
          </cell>
          <cell r="E35">
            <v>36.1</v>
          </cell>
          <cell r="F35">
            <v>36.1</v>
          </cell>
          <cell r="G35">
            <v>33.5</v>
          </cell>
          <cell r="H35">
            <v>33</v>
          </cell>
          <cell r="I35">
            <v>31</v>
          </cell>
          <cell r="J35">
            <v>28</v>
          </cell>
          <cell r="K35">
            <v>26</v>
          </cell>
          <cell r="L35">
            <v>26</v>
          </cell>
          <cell r="M35">
            <v>26.5</v>
          </cell>
          <cell r="N35">
            <v>26.5</v>
          </cell>
          <cell r="O35">
            <v>26.5</v>
          </cell>
          <cell r="P35">
            <v>26.5</v>
          </cell>
          <cell r="Q35">
            <v>26.5</v>
          </cell>
          <cell r="S35">
            <v>27.333333333333332</v>
          </cell>
        </row>
        <row r="36">
          <cell r="A36" t="str">
            <v>Cayman Islands</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S36">
            <v>0</v>
          </cell>
        </row>
        <row r="37">
          <cell r="A37" t="str">
            <v>Chile</v>
          </cell>
          <cell r="B37">
            <v>16.5</v>
          </cell>
          <cell r="C37">
            <v>17</v>
          </cell>
          <cell r="D37">
            <v>17</v>
          </cell>
          <cell r="E37">
            <v>17</v>
          </cell>
          <cell r="F37">
            <v>17</v>
          </cell>
          <cell r="G37">
            <v>17</v>
          </cell>
          <cell r="H37">
            <v>17</v>
          </cell>
          <cell r="I37">
            <v>17</v>
          </cell>
          <cell r="J37">
            <v>20</v>
          </cell>
          <cell r="K37">
            <v>18.5</v>
          </cell>
          <cell r="L37">
            <v>20</v>
          </cell>
          <cell r="M37">
            <v>20</v>
          </cell>
          <cell r="N37">
            <v>24</v>
          </cell>
          <cell r="O37">
            <v>24</v>
          </cell>
          <cell r="P37">
            <v>25.5</v>
          </cell>
          <cell r="Q37">
            <v>27</v>
          </cell>
          <cell r="S37">
            <v>19.916666666666668</v>
          </cell>
        </row>
        <row r="38">
          <cell r="A38" t="str">
            <v>China</v>
          </cell>
          <cell r="B38">
            <v>33</v>
          </cell>
          <cell r="C38">
            <v>33</v>
          </cell>
          <cell r="D38">
            <v>33</v>
          </cell>
          <cell r="E38">
            <v>33</v>
          </cell>
          <cell r="F38">
            <v>33</v>
          </cell>
          <cell r="G38">
            <v>25</v>
          </cell>
          <cell r="H38">
            <v>25</v>
          </cell>
          <cell r="I38">
            <v>25</v>
          </cell>
          <cell r="J38">
            <v>25</v>
          </cell>
          <cell r="K38">
            <v>25</v>
          </cell>
          <cell r="L38">
            <v>25</v>
          </cell>
          <cell r="M38">
            <v>25</v>
          </cell>
          <cell r="N38">
            <v>25</v>
          </cell>
          <cell r="O38">
            <v>25</v>
          </cell>
          <cell r="P38">
            <v>25</v>
          </cell>
          <cell r="Q38">
            <v>25</v>
          </cell>
          <cell r="S38">
            <v>25</v>
          </cell>
        </row>
        <row r="39">
          <cell r="A39" t="str">
            <v>Colombia</v>
          </cell>
          <cell r="B39">
            <v>35</v>
          </cell>
          <cell r="C39">
            <v>35</v>
          </cell>
          <cell r="D39">
            <v>35</v>
          </cell>
          <cell r="E39">
            <v>35</v>
          </cell>
          <cell r="F39">
            <v>34</v>
          </cell>
          <cell r="G39">
            <v>33</v>
          </cell>
          <cell r="H39">
            <v>33</v>
          </cell>
          <cell r="I39">
            <v>33</v>
          </cell>
          <cell r="J39">
            <v>33</v>
          </cell>
          <cell r="K39">
            <v>33</v>
          </cell>
          <cell r="L39">
            <v>25</v>
          </cell>
          <cell r="M39">
            <v>25</v>
          </cell>
          <cell r="N39">
            <v>25</v>
          </cell>
          <cell r="O39">
            <v>25</v>
          </cell>
          <cell r="P39">
            <v>34</v>
          </cell>
          <cell r="Q39">
            <v>33</v>
          </cell>
          <cell r="S39">
            <v>29</v>
          </cell>
        </row>
        <row r="40">
          <cell r="A40" t="str">
            <v>Congo (Democratic Republic of the)</v>
          </cell>
          <cell r="P40">
            <v>35</v>
          </cell>
          <cell r="Q40">
            <v>35</v>
          </cell>
          <cell r="S40" t="e">
            <v>#DIV/0!</v>
          </cell>
        </row>
        <row r="41">
          <cell r="A41" t="str">
            <v>Costa Rica</v>
          </cell>
          <cell r="B41">
            <v>36</v>
          </cell>
          <cell r="C41">
            <v>30</v>
          </cell>
          <cell r="D41">
            <v>30</v>
          </cell>
          <cell r="E41">
            <v>30</v>
          </cell>
          <cell r="F41">
            <v>30</v>
          </cell>
          <cell r="G41">
            <v>30</v>
          </cell>
          <cell r="H41">
            <v>30</v>
          </cell>
          <cell r="I41">
            <v>30</v>
          </cell>
          <cell r="J41">
            <v>30</v>
          </cell>
          <cell r="K41">
            <v>30</v>
          </cell>
          <cell r="L41">
            <v>30</v>
          </cell>
          <cell r="M41">
            <v>30</v>
          </cell>
          <cell r="N41">
            <v>30</v>
          </cell>
          <cell r="O41">
            <v>30</v>
          </cell>
          <cell r="P41">
            <v>30</v>
          </cell>
          <cell r="Q41">
            <v>30</v>
          </cell>
          <cell r="S41">
            <v>30</v>
          </cell>
        </row>
        <row r="42">
          <cell r="A42" t="str">
            <v>Croatia</v>
          </cell>
          <cell r="B42">
            <v>20</v>
          </cell>
          <cell r="C42">
            <v>20</v>
          </cell>
          <cell r="D42">
            <v>20</v>
          </cell>
          <cell r="E42">
            <v>20</v>
          </cell>
          <cell r="F42">
            <v>20</v>
          </cell>
          <cell r="G42">
            <v>20</v>
          </cell>
          <cell r="H42">
            <v>20</v>
          </cell>
          <cell r="I42">
            <v>20</v>
          </cell>
          <cell r="J42">
            <v>20</v>
          </cell>
          <cell r="K42">
            <v>20</v>
          </cell>
          <cell r="L42">
            <v>20</v>
          </cell>
          <cell r="M42">
            <v>20</v>
          </cell>
          <cell r="N42">
            <v>20</v>
          </cell>
          <cell r="O42">
            <v>20</v>
          </cell>
          <cell r="P42">
            <v>20</v>
          </cell>
          <cell r="Q42">
            <v>18</v>
          </cell>
          <cell r="S42">
            <v>20</v>
          </cell>
        </row>
        <row r="43">
          <cell r="A43" t="str">
            <v>Curacao</v>
          </cell>
          <cell r="J43">
            <v>34.5</v>
          </cell>
          <cell r="K43">
            <v>27.5</v>
          </cell>
          <cell r="L43">
            <v>27.5</v>
          </cell>
          <cell r="M43">
            <v>27.5</v>
          </cell>
          <cell r="N43">
            <v>22</v>
          </cell>
          <cell r="O43">
            <v>22</v>
          </cell>
          <cell r="P43">
            <v>22</v>
          </cell>
          <cell r="Q43">
            <v>22</v>
          </cell>
          <cell r="S43">
            <v>27.8</v>
          </cell>
        </row>
        <row r="44">
          <cell r="A44" t="str">
            <v>Cyprus</v>
          </cell>
          <cell r="B44">
            <v>15</v>
          </cell>
          <cell r="C44">
            <v>15</v>
          </cell>
          <cell r="D44">
            <v>10</v>
          </cell>
          <cell r="E44">
            <v>10</v>
          </cell>
          <cell r="F44">
            <v>10</v>
          </cell>
          <cell r="G44">
            <v>10</v>
          </cell>
          <cell r="H44">
            <v>10</v>
          </cell>
          <cell r="I44">
            <v>10</v>
          </cell>
          <cell r="J44">
            <v>10</v>
          </cell>
          <cell r="K44">
            <v>10</v>
          </cell>
          <cell r="L44">
            <v>12.5</v>
          </cell>
          <cell r="M44">
            <v>12.5</v>
          </cell>
          <cell r="N44">
            <v>12.5</v>
          </cell>
          <cell r="O44">
            <v>12.5</v>
          </cell>
          <cell r="P44">
            <v>12.5</v>
          </cell>
          <cell r="Q44">
            <v>12.5</v>
          </cell>
          <cell r="S44">
            <v>11.25</v>
          </cell>
        </row>
        <row r="45">
          <cell r="A45" t="str">
            <v>Czech Republic</v>
          </cell>
          <cell r="B45">
            <v>31</v>
          </cell>
          <cell r="C45">
            <v>28</v>
          </cell>
          <cell r="D45">
            <v>26</v>
          </cell>
          <cell r="E45">
            <v>24</v>
          </cell>
          <cell r="F45">
            <v>24</v>
          </cell>
          <cell r="G45">
            <v>21</v>
          </cell>
          <cell r="H45">
            <v>20</v>
          </cell>
          <cell r="I45">
            <v>19</v>
          </cell>
          <cell r="J45">
            <v>19</v>
          </cell>
          <cell r="K45">
            <v>19</v>
          </cell>
          <cell r="L45">
            <v>19</v>
          </cell>
          <cell r="M45">
            <v>19</v>
          </cell>
          <cell r="N45">
            <v>19</v>
          </cell>
          <cell r="O45">
            <v>19</v>
          </cell>
          <cell r="P45">
            <v>19</v>
          </cell>
          <cell r="Q45">
            <v>19</v>
          </cell>
          <cell r="S45">
            <v>19</v>
          </cell>
        </row>
        <row r="46">
          <cell r="A46" t="str">
            <v>Denmark</v>
          </cell>
          <cell r="B46">
            <v>30</v>
          </cell>
          <cell r="C46">
            <v>30</v>
          </cell>
          <cell r="D46">
            <v>28</v>
          </cell>
          <cell r="E46">
            <v>28</v>
          </cell>
          <cell r="F46">
            <v>25</v>
          </cell>
          <cell r="G46">
            <v>25</v>
          </cell>
          <cell r="H46">
            <v>25</v>
          </cell>
          <cell r="I46">
            <v>25</v>
          </cell>
          <cell r="J46">
            <v>25</v>
          </cell>
          <cell r="K46">
            <v>25</v>
          </cell>
          <cell r="L46">
            <v>25</v>
          </cell>
          <cell r="M46">
            <v>24.5</v>
          </cell>
          <cell r="N46">
            <v>22</v>
          </cell>
          <cell r="O46">
            <v>22</v>
          </cell>
          <cell r="P46">
            <v>22</v>
          </cell>
          <cell r="Q46">
            <v>22</v>
          </cell>
          <cell r="S46">
            <v>24.416666666666668</v>
          </cell>
        </row>
        <row r="47">
          <cell r="A47" t="str">
            <v>Djibouti</v>
          </cell>
          <cell r="P47">
            <v>25</v>
          </cell>
          <cell r="Q47">
            <v>25</v>
          </cell>
          <cell r="S47" t="e">
            <v>#DIV/0!</v>
          </cell>
        </row>
        <row r="48">
          <cell r="A48" t="str">
            <v>Dominica</v>
          </cell>
          <cell r="P48">
            <v>25</v>
          </cell>
          <cell r="Q48">
            <v>25</v>
          </cell>
          <cell r="S48" t="e">
            <v>#DIV/0!</v>
          </cell>
        </row>
        <row r="49">
          <cell r="A49" t="str">
            <v>Dominican Republic</v>
          </cell>
          <cell r="B49">
            <v>25</v>
          </cell>
          <cell r="C49">
            <v>25</v>
          </cell>
          <cell r="D49">
            <v>25</v>
          </cell>
          <cell r="E49">
            <v>30</v>
          </cell>
          <cell r="F49">
            <v>25</v>
          </cell>
          <cell r="G49">
            <v>25</v>
          </cell>
          <cell r="H49">
            <v>25</v>
          </cell>
          <cell r="I49">
            <v>25</v>
          </cell>
          <cell r="J49">
            <v>29</v>
          </cell>
          <cell r="K49">
            <v>29</v>
          </cell>
          <cell r="L49">
            <v>29</v>
          </cell>
          <cell r="M49">
            <v>28</v>
          </cell>
          <cell r="N49">
            <v>27</v>
          </cell>
          <cell r="O49">
            <v>27</v>
          </cell>
          <cell r="P49">
            <v>27</v>
          </cell>
          <cell r="Q49">
            <v>27</v>
          </cell>
          <cell r="S49">
            <v>27.833333333333332</v>
          </cell>
        </row>
        <row r="50">
          <cell r="A50" t="str">
            <v>Ecuador</v>
          </cell>
          <cell r="B50">
            <v>25</v>
          </cell>
          <cell r="C50">
            <v>25</v>
          </cell>
          <cell r="D50">
            <v>25</v>
          </cell>
          <cell r="E50">
            <v>25</v>
          </cell>
          <cell r="F50">
            <v>25</v>
          </cell>
          <cell r="G50">
            <v>25</v>
          </cell>
          <cell r="H50">
            <v>25</v>
          </cell>
          <cell r="I50">
            <v>25</v>
          </cell>
          <cell r="J50">
            <v>24</v>
          </cell>
          <cell r="K50">
            <v>23</v>
          </cell>
          <cell r="L50">
            <v>22</v>
          </cell>
          <cell r="M50">
            <v>22</v>
          </cell>
          <cell r="N50">
            <v>22</v>
          </cell>
          <cell r="O50">
            <v>22</v>
          </cell>
          <cell r="P50">
            <v>22</v>
          </cell>
          <cell r="Q50">
            <v>25</v>
          </cell>
          <cell r="S50">
            <v>23</v>
          </cell>
        </row>
        <row r="51">
          <cell r="A51" t="str">
            <v>Egypt</v>
          </cell>
          <cell r="B51">
            <v>42</v>
          </cell>
          <cell r="C51">
            <v>42</v>
          </cell>
          <cell r="D51">
            <v>20</v>
          </cell>
          <cell r="E51">
            <v>20</v>
          </cell>
          <cell r="F51">
            <v>20</v>
          </cell>
          <cell r="G51">
            <v>20</v>
          </cell>
          <cell r="H51">
            <v>20</v>
          </cell>
          <cell r="I51">
            <v>20</v>
          </cell>
          <cell r="J51">
            <v>20</v>
          </cell>
          <cell r="K51">
            <v>25</v>
          </cell>
          <cell r="L51">
            <v>25</v>
          </cell>
          <cell r="M51">
            <v>25</v>
          </cell>
          <cell r="N51">
            <v>22.5</v>
          </cell>
          <cell r="O51">
            <v>22.5</v>
          </cell>
          <cell r="P51">
            <v>22.5</v>
          </cell>
          <cell r="Q51">
            <v>22.5</v>
          </cell>
          <cell r="S51">
            <v>22.916666666666668</v>
          </cell>
        </row>
        <row r="52">
          <cell r="A52" t="str">
            <v>El Salvador</v>
          </cell>
          <cell r="K52">
            <v>30</v>
          </cell>
          <cell r="L52">
            <v>30</v>
          </cell>
          <cell r="M52">
            <v>30</v>
          </cell>
          <cell r="N52">
            <v>30</v>
          </cell>
          <cell r="O52">
            <v>30</v>
          </cell>
          <cell r="P52">
            <v>30</v>
          </cell>
          <cell r="Q52">
            <v>30</v>
          </cell>
          <cell r="S52">
            <v>30</v>
          </cell>
        </row>
        <row r="53">
          <cell r="A53" t="str">
            <v>Estonia</v>
          </cell>
          <cell r="B53">
            <v>26</v>
          </cell>
          <cell r="C53">
            <v>26</v>
          </cell>
          <cell r="D53">
            <v>24</v>
          </cell>
          <cell r="E53">
            <v>23</v>
          </cell>
          <cell r="F53">
            <v>22</v>
          </cell>
          <cell r="G53">
            <v>21</v>
          </cell>
          <cell r="H53">
            <v>21</v>
          </cell>
          <cell r="I53">
            <v>21</v>
          </cell>
          <cell r="J53">
            <v>21</v>
          </cell>
          <cell r="K53">
            <v>21</v>
          </cell>
          <cell r="L53">
            <v>21</v>
          </cell>
          <cell r="M53">
            <v>21</v>
          </cell>
          <cell r="N53">
            <v>20</v>
          </cell>
          <cell r="O53">
            <v>20</v>
          </cell>
          <cell r="P53">
            <v>20</v>
          </cell>
          <cell r="Q53">
            <v>20</v>
          </cell>
          <cell r="S53">
            <v>20.833333333333332</v>
          </cell>
        </row>
        <row r="54">
          <cell r="A54" t="str">
            <v>Ethiopia</v>
          </cell>
          <cell r="P54">
            <v>30</v>
          </cell>
          <cell r="Q54">
            <v>30</v>
          </cell>
          <cell r="S54" t="e">
            <v>#DIV/0!</v>
          </cell>
        </row>
        <row r="55">
          <cell r="A55" t="str">
            <v>Fiji</v>
          </cell>
          <cell r="B55">
            <v>32</v>
          </cell>
          <cell r="C55">
            <v>31</v>
          </cell>
          <cell r="D55">
            <v>31</v>
          </cell>
          <cell r="E55">
            <v>31</v>
          </cell>
          <cell r="F55">
            <v>31</v>
          </cell>
          <cell r="G55">
            <v>31</v>
          </cell>
          <cell r="H55">
            <v>29</v>
          </cell>
          <cell r="I55">
            <v>28</v>
          </cell>
          <cell r="J55">
            <v>28</v>
          </cell>
          <cell r="K55">
            <v>28</v>
          </cell>
          <cell r="L55">
            <v>20</v>
          </cell>
          <cell r="M55">
            <v>20</v>
          </cell>
          <cell r="N55">
            <v>20</v>
          </cell>
          <cell r="O55">
            <v>20</v>
          </cell>
          <cell r="P55">
            <v>20</v>
          </cell>
          <cell r="Q55">
            <v>20</v>
          </cell>
          <cell r="S55">
            <v>24</v>
          </cell>
        </row>
        <row r="56">
          <cell r="A56" t="str">
            <v>Finland</v>
          </cell>
          <cell r="B56">
            <v>29</v>
          </cell>
          <cell r="C56">
            <v>29</v>
          </cell>
          <cell r="D56">
            <v>26</v>
          </cell>
          <cell r="E56">
            <v>26</v>
          </cell>
          <cell r="F56">
            <v>26</v>
          </cell>
          <cell r="G56">
            <v>26</v>
          </cell>
          <cell r="H56">
            <v>26</v>
          </cell>
          <cell r="I56">
            <v>26</v>
          </cell>
          <cell r="J56">
            <v>26</v>
          </cell>
          <cell r="K56">
            <v>24.5</v>
          </cell>
          <cell r="L56">
            <v>24.5</v>
          </cell>
          <cell r="M56">
            <v>20</v>
          </cell>
          <cell r="N56">
            <v>20</v>
          </cell>
          <cell r="O56">
            <v>20</v>
          </cell>
          <cell r="P56">
            <v>20</v>
          </cell>
          <cell r="Q56">
            <v>20</v>
          </cell>
          <cell r="S56">
            <v>23.5</v>
          </cell>
        </row>
        <row r="57">
          <cell r="A57" t="str">
            <v>France</v>
          </cell>
          <cell r="B57">
            <v>34.33</v>
          </cell>
          <cell r="C57">
            <v>34.33</v>
          </cell>
          <cell r="D57">
            <v>33.83</v>
          </cell>
          <cell r="E57">
            <v>33.33</v>
          </cell>
          <cell r="F57">
            <v>33.33</v>
          </cell>
          <cell r="G57">
            <v>33.33</v>
          </cell>
          <cell r="H57">
            <v>33.33</v>
          </cell>
          <cell r="I57">
            <v>33.33</v>
          </cell>
          <cell r="J57">
            <v>33.33</v>
          </cell>
          <cell r="K57">
            <v>33.33</v>
          </cell>
          <cell r="L57">
            <v>33.33</v>
          </cell>
          <cell r="M57">
            <v>33.33</v>
          </cell>
          <cell r="N57">
            <v>33.33</v>
          </cell>
          <cell r="O57">
            <v>33.299999999999997</v>
          </cell>
          <cell r="P57">
            <v>33.33</v>
          </cell>
          <cell r="Q57">
            <v>31</v>
          </cell>
          <cell r="S57">
            <v>33.329999999999991</v>
          </cell>
        </row>
        <row r="58">
          <cell r="A58" t="str">
            <v>Gabon</v>
          </cell>
          <cell r="P58">
            <v>30</v>
          </cell>
          <cell r="Q58">
            <v>30</v>
          </cell>
          <cell r="S58" t="e">
            <v>#DIV/0!</v>
          </cell>
        </row>
        <row r="59">
          <cell r="A59" t="str">
            <v>Gambia</v>
          </cell>
          <cell r="P59">
            <v>31</v>
          </cell>
          <cell r="Q59">
            <v>31</v>
          </cell>
          <cell r="S59" t="e">
            <v>#DIV/0!</v>
          </cell>
        </row>
        <row r="60">
          <cell r="A60" t="str">
            <v>Georgia</v>
          </cell>
          <cell r="L60">
            <v>15</v>
          </cell>
          <cell r="M60">
            <v>15</v>
          </cell>
          <cell r="N60">
            <v>15</v>
          </cell>
          <cell r="O60">
            <v>15</v>
          </cell>
          <cell r="P60">
            <v>15</v>
          </cell>
          <cell r="Q60">
            <v>15</v>
          </cell>
          <cell r="S60">
            <v>15</v>
          </cell>
        </row>
        <row r="61">
          <cell r="A61" t="str">
            <v>Germany</v>
          </cell>
          <cell r="B61">
            <v>39.58</v>
          </cell>
          <cell r="C61">
            <v>38.29</v>
          </cell>
          <cell r="D61">
            <v>38.31</v>
          </cell>
          <cell r="E61">
            <v>38.340000000000003</v>
          </cell>
          <cell r="F61">
            <v>38.36</v>
          </cell>
          <cell r="G61">
            <v>29.51</v>
          </cell>
          <cell r="H61">
            <v>29.44</v>
          </cell>
          <cell r="I61">
            <v>29.41</v>
          </cell>
          <cell r="J61">
            <v>29.37</v>
          </cell>
          <cell r="K61">
            <v>29.48</v>
          </cell>
          <cell r="L61">
            <v>29.55</v>
          </cell>
          <cell r="M61">
            <v>29.58</v>
          </cell>
          <cell r="N61">
            <v>29.72</v>
          </cell>
          <cell r="O61">
            <v>29.72</v>
          </cell>
          <cell r="P61">
            <v>29.79</v>
          </cell>
          <cell r="Q61">
            <v>30</v>
          </cell>
          <cell r="S61">
            <v>29.518333333333331</v>
          </cell>
        </row>
        <row r="62">
          <cell r="A62" t="str">
            <v>Ghana</v>
          </cell>
          <cell r="L62">
            <v>25</v>
          </cell>
          <cell r="M62">
            <v>25</v>
          </cell>
          <cell r="N62">
            <v>25</v>
          </cell>
          <cell r="O62">
            <v>25</v>
          </cell>
          <cell r="P62">
            <v>25</v>
          </cell>
          <cell r="Q62">
            <v>25</v>
          </cell>
          <cell r="S62">
            <v>25</v>
          </cell>
        </row>
        <row r="63">
          <cell r="A63" t="str">
            <v>Gibraltar</v>
          </cell>
          <cell r="B63">
            <v>35</v>
          </cell>
          <cell r="C63">
            <v>35</v>
          </cell>
          <cell r="D63">
            <v>35</v>
          </cell>
          <cell r="E63">
            <v>35</v>
          </cell>
          <cell r="F63">
            <v>35</v>
          </cell>
          <cell r="G63">
            <v>33</v>
          </cell>
          <cell r="H63">
            <v>27</v>
          </cell>
          <cell r="I63">
            <v>22</v>
          </cell>
          <cell r="J63">
            <v>10</v>
          </cell>
          <cell r="K63">
            <v>10</v>
          </cell>
          <cell r="L63">
            <v>10</v>
          </cell>
          <cell r="M63">
            <v>10</v>
          </cell>
          <cell r="N63">
            <v>10</v>
          </cell>
          <cell r="O63">
            <v>10</v>
          </cell>
          <cell r="P63">
            <v>10</v>
          </cell>
          <cell r="Q63">
            <v>10</v>
          </cell>
          <cell r="S63">
            <v>12</v>
          </cell>
        </row>
        <row r="64">
          <cell r="A64" t="str">
            <v>Greece</v>
          </cell>
          <cell r="B64">
            <v>35</v>
          </cell>
          <cell r="C64">
            <v>35</v>
          </cell>
          <cell r="D64">
            <v>32</v>
          </cell>
          <cell r="E64">
            <v>29</v>
          </cell>
          <cell r="F64">
            <v>25</v>
          </cell>
          <cell r="G64">
            <v>25</v>
          </cell>
          <cell r="H64">
            <v>25</v>
          </cell>
          <cell r="I64">
            <v>24</v>
          </cell>
          <cell r="J64">
            <v>20</v>
          </cell>
          <cell r="K64">
            <v>20</v>
          </cell>
          <cell r="L64">
            <v>26</v>
          </cell>
          <cell r="M64">
            <v>26</v>
          </cell>
          <cell r="N64">
            <v>29</v>
          </cell>
          <cell r="O64">
            <v>29</v>
          </cell>
          <cell r="P64">
            <v>29</v>
          </cell>
          <cell r="Q64">
            <v>28</v>
          </cell>
          <cell r="S64">
            <v>24.166666666666668</v>
          </cell>
        </row>
        <row r="65">
          <cell r="A65" t="str">
            <v>Grenada</v>
          </cell>
          <cell r="P65">
            <v>30</v>
          </cell>
          <cell r="Q65">
            <v>28</v>
          </cell>
          <cell r="S65" t="e">
            <v>#DIV/0!</v>
          </cell>
        </row>
        <row r="66">
          <cell r="A66" t="str">
            <v>Guatemala</v>
          </cell>
          <cell r="B66">
            <v>31</v>
          </cell>
          <cell r="C66">
            <v>31</v>
          </cell>
          <cell r="D66">
            <v>31</v>
          </cell>
          <cell r="E66">
            <v>31</v>
          </cell>
          <cell r="F66">
            <v>31</v>
          </cell>
          <cell r="G66">
            <v>31</v>
          </cell>
          <cell r="H66">
            <v>31</v>
          </cell>
          <cell r="I66">
            <v>31</v>
          </cell>
          <cell r="J66">
            <v>31</v>
          </cell>
          <cell r="K66">
            <v>31</v>
          </cell>
          <cell r="L66">
            <v>31</v>
          </cell>
          <cell r="M66">
            <v>28</v>
          </cell>
          <cell r="N66">
            <v>25</v>
          </cell>
          <cell r="O66">
            <v>25</v>
          </cell>
          <cell r="P66">
            <v>25</v>
          </cell>
          <cell r="Q66">
            <v>25</v>
          </cell>
          <cell r="S66">
            <v>29.5</v>
          </cell>
        </row>
        <row r="67">
          <cell r="A67" t="str">
            <v>Guernsey</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row>
        <row r="68">
          <cell r="A68" t="str">
            <v>Honduras</v>
          </cell>
          <cell r="B68">
            <v>25</v>
          </cell>
          <cell r="C68">
            <v>25</v>
          </cell>
          <cell r="D68">
            <v>30</v>
          </cell>
          <cell r="E68">
            <v>30</v>
          </cell>
          <cell r="F68">
            <v>30</v>
          </cell>
          <cell r="G68">
            <v>30</v>
          </cell>
          <cell r="H68">
            <v>30</v>
          </cell>
          <cell r="I68">
            <v>25</v>
          </cell>
          <cell r="J68">
            <v>35</v>
          </cell>
          <cell r="K68">
            <v>35</v>
          </cell>
          <cell r="L68">
            <v>35</v>
          </cell>
          <cell r="M68">
            <v>30</v>
          </cell>
          <cell r="N68">
            <v>30</v>
          </cell>
          <cell r="O68">
            <v>30</v>
          </cell>
          <cell r="P68">
            <v>25</v>
          </cell>
          <cell r="Q68">
            <v>25</v>
          </cell>
          <cell r="S68">
            <v>31.666666666666668</v>
          </cell>
        </row>
        <row r="69">
          <cell r="A69" t="str">
            <v>Hong Kong SAR</v>
          </cell>
          <cell r="B69">
            <v>16</v>
          </cell>
          <cell r="C69">
            <v>17.5</v>
          </cell>
          <cell r="D69">
            <v>17.5</v>
          </cell>
          <cell r="E69">
            <v>17.5</v>
          </cell>
          <cell r="F69">
            <v>17.5</v>
          </cell>
          <cell r="G69">
            <v>16.5</v>
          </cell>
          <cell r="H69">
            <v>16.5</v>
          </cell>
          <cell r="I69">
            <v>16.5</v>
          </cell>
          <cell r="J69">
            <v>16.5</v>
          </cell>
          <cell r="K69">
            <v>16.5</v>
          </cell>
          <cell r="L69">
            <v>16.5</v>
          </cell>
          <cell r="M69">
            <v>16.5</v>
          </cell>
          <cell r="N69">
            <v>16.5</v>
          </cell>
          <cell r="O69">
            <v>16.5</v>
          </cell>
          <cell r="P69">
            <v>16.5</v>
          </cell>
          <cell r="Q69">
            <v>16.5</v>
          </cell>
          <cell r="S69">
            <v>16.5</v>
          </cell>
        </row>
        <row r="70">
          <cell r="A70" t="str">
            <v>Hungary</v>
          </cell>
          <cell r="B70">
            <v>18</v>
          </cell>
          <cell r="C70">
            <v>16</v>
          </cell>
          <cell r="D70">
            <v>16</v>
          </cell>
          <cell r="E70">
            <v>16</v>
          </cell>
          <cell r="F70">
            <v>16</v>
          </cell>
          <cell r="G70">
            <v>16</v>
          </cell>
          <cell r="H70">
            <v>16</v>
          </cell>
          <cell r="I70">
            <v>19</v>
          </cell>
          <cell r="J70">
            <v>19</v>
          </cell>
          <cell r="K70">
            <v>19</v>
          </cell>
          <cell r="L70">
            <v>19</v>
          </cell>
          <cell r="M70">
            <v>19</v>
          </cell>
          <cell r="N70">
            <v>19</v>
          </cell>
          <cell r="O70">
            <v>19</v>
          </cell>
          <cell r="P70">
            <v>9</v>
          </cell>
          <cell r="Q70">
            <v>9</v>
          </cell>
          <cell r="S70">
            <v>19</v>
          </cell>
        </row>
        <row r="71">
          <cell r="A71" t="str">
            <v>Iceland</v>
          </cell>
          <cell r="B71">
            <v>18</v>
          </cell>
          <cell r="C71">
            <v>18</v>
          </cell>
          <cell r="D71">
            <v>18</v>
          </cell>
          <cell r="E71">
            <v>18</v>
          </cell>
          <cell r="F71">
            <v>18</v>
          </cell>
          <cell r="G71">
            <v>15</v>
          </cell>
          <cell r="H71">
            <v>15</v>
          </cell>
          <cell r="I71">
            <v>18</v>
          </cell>
          <cell r="J71">
            <v>20</v>
          </cell>
          <cell r="K71">
            <v>20</v>
          </cell>
          <cell r="L71">
            <v>20</v>
          </cell>
          <cell r="M71">
            <v>20</v>
          </cell>
          <cell r="N71">
            <v>20</v>
          </cell>
          <cell r="O71">
            <v>20</v>
          </cell>
          <cell r="P71">
            <v>20</v>
          </cell>
          <cell r="Q71">
            <v>20</v>
          </cell>
          <cell r="S71">
            <v>19.666666666666668</v>
          </cell>
        </row>
        <row r="72">
          <cell r="A72" t="str">
            <v>India</v>
          </cell>
          <cell r="B72">
            <v>36.75</v>
          </cell>
          <cell r="C72">
            <v>35.880000000000003</v>
          </cell>
          <cell r="D72">
            <v>36.590000000000003</v>
          </cell>
          <cell r="E72">
            <v>33.659999999999997</v>
          </cell>
          <cell r="F72">
            <v>33.99</v>
          </cell>
          <cell r="G72">
            <v>33.99</v>
          </cell>
          <cell r="H72">
            <v>33.99</v>
          </cell>
          <cell r="I72">
            <v>33.99</v>
          </cell>
          <cell r="J72">
            <v>32.44</v>
          </cell>
          <cell r="K72">
            <v>32.450000000000003</v>
          </cell>
          <cell r="L72">
            <v>33.99</v>
          </cell>
          <cell r="M72">
            <v>33.99</v>
          </cell>
          <cell r="N72">
            <v>34.61</v>
          </cell>
          <cell r="O72">
            <v>34.61</v>
          </cell>
          <cell r="P72">
            <v>34.61</v>
          </cell>
          <cell r="Q72">
            <v>30</v>
          </cell>
          <cell r="S72">
            <v>33.57833333333334</v>
          </cell>
        </row>
        <row r="73">
          <cell r="A73" t="str">
            <v>Indonesia</v>
          </cell>
          <cell r="B73">
            <v>30</v>
          </cell>
          <cell r="C73">
            <v>30</v>
          </cell>
          <cell r="D73">
            <v>30</v>
          </cell>
          <cell r="E73">
            <v>30</v>
          </cell>
          <cell r="F73">
            <v>30</v>
          </cell>
          <cell r="G73">
            <v>30</v>
          </cell>
          <cell r="H73">
            <v>28</v>
          </cell>
          <cell r="I73">
            <v>25</v>
          </cell>
          <cell r="J73">
            <v>25</v>
          </cell>
          <cell r="K73">
            <v>25</v>
          </cell>
          <cell r="L73">
            <v>25</v>
          </cell>
          <cell r="M73">
            <v>25</v>
          </cell>
          <cell r="N73">
            <v>25</v>
          </cell>
          <cell r="O73">
            <v>25</v>
          </cell>
          <cell r="P73">
            <v>25</v>
          </cell>
          <cell r="Q73">
            <v>25</v>
          </cell>
          <cell r="S73">
            <v>25</v>
          </cell>
        </row>
        <row r="74">
          <cell r="A74" t="str">
            <v>Iraq</v>
          </cell>
          <cell r="L74">
            <v>15</v>
          </cell>
          <cell r="M74">
            <v>15</v>
          </cell>
          <cell r="N74">
            <v>15</v>
          </cell>
          <cell r="O74">
            <v>15</v>
          </cell>
          <cell r="P74">
            <v>15</v>
          </cell>
          <cell r="Q74">
            <v>15</v>
          </cell>
          <cell r="S74">
            <v>15</v>
          </cell>
        </row>
        <row r="75">
          <cell r="A75" t="str">
            <v>Ireland</v>
          </cell>
          <cell r="B75">
            <v>12.5</v>
          </cell>
          <cell r="C75">
            <v>12.5</v>
          </cell>
          <cell r="D75">
            <v>12.5</v>
          </cell>
          <cell r="E75">
            <v>12.5</v>
          </cell>
          <cell r="F75">
            <v>12.5</v>
          </cell>
          <cell r="G75">
            <v>12.5</v>
          </cell>
          <cell r="H75">
            <v>12.5</v>
          </cell>
          <cell r="I75">
            <v>12.5</v>
          </cell>
          <cell r="J75">
            <v>12.5</v>
          </cell>
          <cell r="K75">
            <v>12.5</v>
          </cell>
          <cell r="L75">
            <v>12.5</v>
          </cell>
          <cell r="M75">
            <v>12.5</v>
          </cell>
          <cell r="N75">
            <v>12.5</v>
          </cell>
          <cell r="O75">
            <v>12.5</v>
          </cell>
          <cell r="P75">
            <v>12.5</v>
          </cell>
          <cell r="Q75">
            <v>12.5</v>
          </cell>
          <cell r="S75">
            <v>12.5</v>
          </cell>
        </row>
        <row r="76">
          <cell r="A76" t="str">
            <v>Isle of Man</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row>
        <row r="77">
          <cell r="A77" t="str">
            <v>Israel</v>
          </cell>
          <cell r="B77">
            <v>36</v>
          </cell>
          <cell r="C77">
            <v>35</v>
          </cell>
          <cell r="D77">
            <v>34</v>
          </cell>
          <cell r="E77">
            <v>31</v>
          </cell>
          <cell r="F77">
            <v>29</v>
          </cell>
          <cell r="G77">
            <v>27</v>
          </cell>
          <cell r="H77">
            <v>26</v>
          </cell>
          <cell r="I77">
            <v>25</v>
          </cell>
          <cell r="J77">
            <v>24</v>
          </cell>
          <cell r="K77">
            <v>25</v>
          </cell>
          <cell r="L77">
            <v>25</v>
          </cell>
          <cell r="M77">
            <v>26.5</v>
          </cell>
          <cell r="N77">
            <v>25</v>
          </cell>
          <cell r="O77">
            <v>25</v>
          </cell>
          <cell r="P77">
            <v>24</v>
          </cell>
          <cell r="Q77">
            <v>23</v>
          </cell>
          <cell r="S77">
            <v>25.083333333333332</v>
          </cell>
        </row>
        <row r="78">
          <cell r="A78" t="str">
            <v>Italy</v>
          </cell>
          <cell r="B78">
            <v>38.25</v>
          </cell>
          <cell r="C78">
            <v>37.25</v>
          </cell>
          <cell r="D78">
            <v>37.25</v>
          </cell>
          <cell r="E78">
            <v>37.25</v>
          </cell>
          <cell r="F78">
            <v>37.25</v>
          </cell>
          <cell r="G78">
            <v>31.4</v>
          </cell>
          <cell r="H78">
            <v>31.4</v>
          </cell>
          <cell r="I78">
            <v>31.4</v>
          </cell>
          <cell r="J78">
            <v>31.4</v>
          </cell>
          <cell r="K78">
            <v>31.4</v>
          </cell>
          <cell r="L78">
            <v>31.4</v>
          </cell>
          <cell r="M78">
            <v>31.4</v>
          </cell>
          <cell r="N78">
            <v>31.4</v>
          </cell>
          <cell r="O78">
            <v>31.4</v>
          </cell>
          <cell r="P78">
            <v>24</v>
          </cell>
          <cell r="Q78">
            <v>24</v>
          </cell>
          <cell r="S78">
            <v>31.400000000000002</v>
          </cell>
        </row>
        <row r="79">
          <cell r="A79" t="str">
            <v>Ivory Coast</v>
          </cell>
          <cell r="P79">
            <v>25</v>
          </cell>
          <cell r="Q79">
            <v>25</v>
          </cell>
          <cell r="S79" t="e">
            <v>#DIV/0!</v>
          </cell>
        </row>
        <row r="80">
          <cell r="A80" t="str">
            <v>Jamaica</v>
          </cell>
          <cell r="B80">
            <v>33.33</v>
          </cell>
          <cell r="C80">
            <v>33.33</v>
          </cell>
          <cell r="D80">
            <v>33.33</v>
          </cell>
          <cell r="E80">
            <v>33.33</v>
          </cell>
          <cell r="F80">
            <v>33.33</v>
          </cell>
          <cell r="G80">
            <v>33.33</v>
          </cell>
          <cell r="H80">
            <v>33.33</v>
          </cell>
          <cell r="I80">
            <v>33.33</v>
          </cell>
          <cell r="J80">
            <v>33.33</v>
          </cell>
          <cell r="K80">
            <v>33.33</v>
          </cell>
          <cell r="L80">
            <v>25</v>
          </cell>
          <cell r="M80">
            <v>25</v>
          </cell>
          <cell r="N80">
            <v>25</v>
          </cell>
          <cell r="O80">
            <v>25</v>
          </cell>
          <cell r="P80">
            <v>25</v>
          </cell>
          <cell r="Q80">
            <v>25</v>
          </cell>
          <cell r="S80">
            <v>29.165000000000003</v>
          </cell>
        </row>
        <row r="81">
          <cell r="A81" t="str">
            <v>Japan</v>
          </cell>
          <cell r="B81">
            <v>42</v>
          </cell>
          <cell r="C81">
            <v>42</v>
          </cell>
          <cell r="D81">
            <v>40.69</v>
          </cell>
          <cell r="E81">
            <v>40.69</v>
          </cell>
          <cell r="F81">
            <v>40.69</v>
          </cell>
          <cell r="G81">
            <v>40.69</v>
          </cell>
          <cell r="H81">
            <v>40.69</v>
          </cell>
          <cell r="I81">
            <v>40.69</v>
          </cell>
          <cell r="J81">
            <v>40.69</v>
          </cell>
          <cell r="K81">
            <v>38.01</v>
          </cell>
          <cell r="L81">
            <v>38.01</v>
          </cell>
          <cell r="M81">
            <v>35.64</v>
          </cell>
          <cell r="N81">
            <v>33.86</v>
          </cell>
          <cell r="O81">
            <v>30.86</v>
          </cell>
          <cell r="P81">
            <v>30.86</v>
          </cell>
          <cell r="Q81">
            <v>30.62</v>
          </cell>
          <cell r="S81">
            <v>37.816666666666663</v>
          </cell>
        </row>
        <row r="82">
          <cell r="A82" t="str">
            <v>Jersey</v>
          </cell>
          <cell r="B82">
            <v>0</v>
          </cell>
          <cell r="C82">
            <v>0</v>
          </cell>
          <cell r="D82">
            <v>0</v>
          </cell>
          <cell r="E82">
            <v>0</v>
          </cell>
          <cell r="F82">
            <v>0</v>
          </cell>
          <cell r="G82">
            <v>0</v>
          </cell>
          <cell r="H82">
            <v>0</v>
          </cell>
          <cell r="I82">
            <v>0</v>
          </cell>
          <cell r="J82">
            <v>0</v>
          </cell>
          <cell r="K82">
            <v>0</v>
          </cell>
          <cell r="L82">
            <v>0</v>
          </cell>
          <cell r="M82">
            <v>0</v>
          </cell>
          <cell r="N82">
            <v>20</v>
          </cell>
          <cell r="O82">
            <v>20</v>
          </cell>
          <cell r="P82">
            <v>20</v>
          </cell>
          <cell r="Q82">
            <v>0</v>
          </cell>
          <cell r="S82">
            <v>3.3333333333333335</v>
          </cell>
        </row>
        <row r="83">
          <cell r="A83" t="str">
            <v>Jordan</v>
          </cell>
          <cell r="B83">
            <v>25</v>
          </cell>
          <cell r="C83">
            <v>25</v>
          </cell>
          <cell r="D83">
            <v>25</v>
          </cell>
          <cell r="E83">
            <v>25</v>
          </cell>
          <cell r="F83">
            <v>25</v>
          </cell>
          <cell r="G83">
            <v>25</v>
          </cell>
          <cell r="H83">
            <v>25</v>
          </cell>
          <cell r="I83">
            <v>14</v>
          </cell>
          <cell r="J83">
            <v>14</v>
          </cell>
          <cell r="K83">
            <v>14</v>
          </cell>
          <cell r="L83">
            <v>14</v>
          </cell>
          <cell r="M83">
            <v>14</v>
          </cell>
          <cell r="N83">
            <v>20</v>
          </cell>
          <cell r="O83">
            <v>20</v>
          </cell>
          <cell r="P83">
            <v>20</v>
          </cell>
          <cell r="Q83">
            <v>20</v>
          </cell>
          <cell r="S83">
            <v>15</v>
          </cell>
        </row>
        <row r="84">
          <cell r="A84" t="str">
            <v>Kazakhstan</v>
          </cell>
          <cell r="B84">
            <v>30</v>
          </cell>
          <cell r="C84">
            <v>30</v>
          </cell>
          <cell r="D84">
            <v>30</v>
          </cell>
          <cell r="E84">
            <v>30</v>
          </cell>
          <cell r="F84">
            <v>30</v>
          </cell>
          <cell r="G84">
            <v>30</v>
          </cell>
          <cell r="H84">
            <v>20</v>
          </cell>
          <cell r="I84">
            <v>20</v>
          </cell>
          <cell r="J84">
            <v>20</v>
          </cell>
          <cell r="K84">
            <v>20</v>
          </cell>
          <cell r="L84">
            <v>20</v>
          </cell>
          <cell r="M84">
            <v>20</v>
          </cell>
          <cell r="N84">
            <v>20</v>
          </cell>
          <cell r="O84">
            <v>20</v>
          </cell>
          <cell r="P84">
            <v>20</v>
          </cell>
          <cell r="Q84">
            <v>20</v>
          </cell>
          <cell r="S84">
            <v>20</v>
          </cell>
        </row>
        <row r="85">
          <cell r="A85" t="str">
            <v>Kenya</v>
          </cell>
          <cell r="K85">
            <v>30</v>
          </cell>
          <cell r="L85">
            <v>30</v>
          </cell>
          <cell r="M85">
            <v>30</v>
          </cell>
          <cell r="N85">
            <v>30</v>
          </cell>
          <cell r="O85">
            <v>30</v>
          </cell>
          <cell r="P85">
            <v>30</v>
          </cell>
          <cell r="Q85">
            <v>30</v>
          </cell>
          <cell r="S85">
            <v>30</v>
          </cell>
        </row>
        <row r="86">
          <cell r="A86" t="str">
            <v>South Korea</v>
          </cell>
          <cell r="B86">
            <v>29.7</v>
          </cell>
          <cell r="C86">
            <v>29.7</v>
          </cell>
          <cell r="D86">
            <v>27.5</v>
          </cell>
          <cell r="E86">
            <v>27.5</v>
          </cell>
          <cell r="F86">
            <v>27.5</v>
          </cell>
          <cell r="G86">
            <v>27.5</v>
          </cell>
          <cell r="H86">
            <v>24.2</v>
          </cell>
          <cell r="I86">
            <v>24.2</v>
          </cell>
          <cell r="J86">
            <v>22</v>
          </cell>
          <cell r="K86">
            <v>24.2</v>
          </cell>
          <cell r="L86">
            <v>24.2</v>
          </cell>
          <cell r="M86">
            <v>24.2</v>
          </cell>
          <cell r="N86">
            <v>24.2</v>
          </cell>
          <cell r="O86">
            <v>24.2</v>
          </cell>
          <cell r="P86">
            <v>22</v>
          </cell>
          <cell r="Q86">
            <v>22</v>
          </cell>
          <cell r="S86">
            <v>23.833333333333332</v>
          </cell>
        </row>
        <row r="87">
          <cell r="A87" t="str">
            <v>Kuwait</v>
          </cell>
          <cell r="B87">
            <v>55</v>
          </cell>
          <cell r="C87">
            <v>55</v>
          </cell>
          <cell r="D87">
            <v>55</v>
          </cell>
          <cell r="E87">
            <v>55</v>
          </cell>
          <cell r="F87">
            <v>55</v>
          </cell>
          <cell r="G87">
            <v>55</v>
          </cell>
          <cell r="H87">
            <v>15</v>
          </cell>
          <cell r="I87">
            <v>15</v>
          </cell>
          <cell r="J87">
            <v>15</v>
          </cell>
          <cell r="K87">
            <v>15</v>
          </cell>
          <cell r="L87">
            <v>15</v>
          </cell>
          <cell r="M87">
            <v>15</v>
          </cell>
          <cell r="N87">
            <v>15</v>
          </cell>
          <cell r="O87">
            <v>15</v>
          </cell>
          <cell r="P87">
            <v>15</v>
          </cell>
          <cell r="Q87">
            <v>15</v>
          </cell>
          <cell r="S87">
            <v>15</v>
          </cell>
        </row>
        <row r="88">
          <cell r="A88" t="str">
            <v>Kyrgyzstan</v>
          </cell>
          <cell r="P88">
            <v>10</v>
          </cell>
          <cell r="Q88">
            <v>10</v>
          </cell>
          <cell r="S88" t="e">
            <v>#DIV/0!</v>
          </cell>
        </row>
        <row r="89">
          <cell r="A89" t="str">
            <v>Latvia</v>
          </cell>
          <cell r="B89">
            <v>19</v>
          </cell>
          <cell r="C89">
            <v>15</v>
          </cell>
          <cell r="D89">
            <v>15</v>
          </cell>
          <cell r="E89">
            <v>15</v>
          </cell>
          <cell r="F89">
            <v>15</v>
          </cell>
          <cell r="G89">
            <v>15</v>
          </cell>
          <cell r="H89">
            <v>15</v>
          </cell>
          <cell r="I89">
            <v>15</v>
          </cell>
          <cell r="J89">
            <v>15</v>
          </cell>
          <cell r="K89">
            <v>15</v>
          </cell>
          <cell r="L89">
            <v>15</v>
          </cell>
          <cell r="M89">
            <v>15</v>
          </cell>
          <cell r="N89">
            <v>15</v>
          </cell>
          <cell r="O89">
            <v>15</v>
          </cell>
          <cell r="P89">
            <v>15</v>
          </cell>
          <cell r="Q89">
            <v>20</v>
          </cell>
          <cell r="S89">
            <v>15</v>
          </cell>
        </row>
        <row r="90">
          <cell r="A90" t="str">
            <v>Lebanon</v>
          </cell>
          <cell r="L90">
            <v>15</v>
          </cell>
          <cell r="M90">
            <v>15</v>
          </cell>
          <cell r="N90">
            <v>15</v>
          </cell>
          <cell r="O90">
            <v>15</v>
          </cell>
          <cell r="P90">
            <v>15</v>
          </cell>
          <cell r="Q90">
            <v>17</v>
          </cell>
          <cell r="S90">
            <v>15</v>
          </cell>
        </row>
        <row r="91">
          <cell r="A91" t="str">
            <v>Libya</v>
          </cell>
          <cell r="B91">
            <v>30.38</v>
          </cell>
          <cell r="C91">
            <v>30.38</v>
          </cell>
          <cell r="D91">
            <v>30.38</v>
          </cell>
          <cell r="E91">
            <v>30.38</v>
          </cell>
          <cell r="F91">
            <v>40</v>
          </cell>
          <cell r="G91">
            <v>40</v>
          </cell>
          <cell r="H91">
            <v>40</v>
          </cell>
          <cell r="I91">
            <v>40</v>
          </cell>
          <cell r="J91">
            <v>20</v>
          </cell>
          <cell r="K91">
            <v>20</v>
          </cell>
          <cell r="L91">
            <v>20</v>
          </cell>
          <cell r="M91">
            <v>20</v>
          </cell>
          <cell r="N91">
            <v>20</v>
          </cell>
          <cell r="O91">
            <v>20</v>
          </cell>
          <cell r="P91">
            <v>20</v>
          </cell>
          <cell r="Q91">
            <v>20</v>
          </cell>
          <cell r="S91">
            <v>23.333333333333332</v>
          </cell>
        </row>
        <row r="92">
          <cell r="A92" t="str">
            <v>Liechtenstein</v>
          </cell>
          <cell r="J92">
            <v>12.5</v>
          </cell>
          <cell r="K92">
            <v>12.5</v>
          </cell>
          <cell r="L92">
            <v>12.5</v>
          </cell>
          <cell r="M92">
            <v>12.5</v>
          </cell>
          <cell r="N92">
            <v>12.5</v>
          </cell>
          <cell r="O92">
            <v>12.5</v>
          </cell>
          <cell r="P92">
            <v>12.5</v>
          </cell>
          <cell r="Q92">
            <v>12.5</v>
          </cell>
          <cell r="S92">
            <v>12.5</v>
          </cell>
        </row>
        <row r="93">
          <cell r="A93" t="str">
            <v>Lithuania</v>
          </cell>
          <cell r="B93">
            <v>15</v>
          </cell>
          <cell r="C93">
            <v>15</v>
          </cell>
          <cell r="D93">
            <v>15</v>
          </cell>
          <cell r="E93">
            <v>15</v>
          </cell>
          <cell r="F93">
            <v>15</v>
          </cell>
          <cell r="G93">
            <v>15</v>
          </cell>
          <cell r="H93">
            <v>20</v>
          </cell>
          <cell r="I93">
            <v>15</v>
          </cell>
          <cell r="J93">
            <v>15</v>
          </cell>
          <cell r="K93">
            <v>15</v>
          </cell>
          <cell r="L93">
            <v>15</v>
          </cell>
          <cell r="M93">
            <v>15</v>
          </cell>
          <cell r="N93">
            <v>15</v>
          </cell>
          <cell r="O93">
            <v>15</v>
          </cell>
          <cell r="P93">
            <v>15</v>
          </cell>
          <cell r="Q93">
            <v>15</v>
          </cell>
          <cell r="S93">
            <v>15</v>
          </cell>
        </row>
        <row r="94">
          <cell r="A94" t="str">
            <v>Luxembourg</v>
          </cell>
          <cell r="B94">
            <v>30.38</v>
          </cell>
          <cell r="C94">
            <v>30.38</v>
          </cell>
          <cell r="D94">
            <v>30.38</v>
          </cell>
          <cell r="E94">
            <v>29.63</v>
          </cell>
          <cell r="F94">
            <v>29.63</v>
          </cell>
          <cell r="G94">
            <v>29.63</v>
          </cell>
          <cell r="H94">
            <v>28.59</v>
          </cell>
          <cell r="I94">
            <v>28.59</v>
          </cell>
          <cell r="J94">
            <v>28.8</v>
          </cell>
          <cell r="K94">
            <v>28.8</v>
          </cell>
          <cell r="L94">
            <v>29.22</v>
          </cell>
          <cell r="M94">
            <v>29.22</v>
          </cell>
          <cell r="N94">
            <v>29.22</v>
          </cell>
          <cell r="O94">
            <v>29.22</v>
          </cell>
          <cell r="P94">
            <v>27.08</v>
          </cell>
          <cell r="Q94">
            <v>24.94</v>
          </cell>
          <cell r="S94">
            <v>28.974999999999998</v>
          </cell>
        </row>
        <row r="95">
          <cell r="A95" t="str">
            <v>Macau</v>
          </cell>
          <cell r="B95">
            <v>15</v>
          </cell>
          <cell r="C95">
            <v>12</v>
          </cell>
          <cell r="D95">
            <v>12</v>
          </cell>
          <cell r="E95">
            <v>12</v>
          </cell>
          <cell r="F95">
            <v>12</v>
          </cell>
          <cell r="G95">
            <v>12</v>
          </cell>
          <cell r="H95">
            <v>12</v>
          </cell>
          <cell r="I95">
            <v>12</v>
          </cell>
          <cell r="J95">
            <v>12</v>
          </cell>
          <cell r="K95">
            <v>12</v>
          </cell>
          <cell r="L95">
            <v>12</v>
          </cell>
          <cell r="M95">
            <v>12</v>
          </cell>
          <cell r="N95">
            <v>12</v>
          </cell>
          <cell r="O95">
            <v>12</v>
          </cell>
          <cell r="P95">
            <v>12</v>
          </cell>
          <cell r="Q95">
            <v>12</v>
          </cell>
          <cell r="S95">
            <v>12</v>
          </cell>
        </row>
        <row r="96">
          <cell r="A96" t="str">
            <v>Macedonia</v>
          </cell>
          <cell r="B96">
            <v>15</v>
          </cell>
          <cell r="C96">
            <v>15</v>
          </cell>
          <cell r="D96">
            <v>15</v>
          </cell>
          <cell r="E96">
            <v>15</v>
          </cell>
          <cell r="F96">
            <v>12</v>
          </cell>
          <cell r="G96">
            <v>10</v>
          </cell>
          <cell r="H96">
            <v>10</v>
          </cell>
          <cell r="I96">
            <v>10</v>
          </cell>
          <cell r="J96">
            <v>10</v>
          </cell>
          <cell r="K96">
            <v>10</v>
          </cell>
          <cell r="L96">
            <v>10</v>
          </cell>
          <cell r="M96">
            <v>10</v>
          </cell>
          <cell r="N96">
            <v>10</v>
          </cell>
          <cell r="O96">
            <v>10</v>
          </cell>
          <cell r="P96">
            <v>10</v>
          </cell>
          <cell r="Q96">
            <v>10</v>
          </cell>
          <cell r="S96">
            <v>10</v>
          </cell>
        </row>
        <row r="97">
          <cell r="A97" t="str">
            <v>Madagascar</v>
          </cell>
          <cell r="P97">
            <v>20</v>
          </cell>
          <cell r="Q97">
            <v>20</v>
          </cell>
          <cell r="S97" t="e">
            <v>#DIV/0!</v>
          </cell>
        </row>
        <row r="98">
          <cell r="A98" t="str">
            <v>Malawi</v>
          </cell>
          <cell r="K98">
            <v>30</v>
          </cell>
          <cell r="L98">
            <v>30</v>
          </cell>
          <cell r="M98">
            <v>30</v>
          </cell>
          <cell r="N98">
            <v>30</v>
          </cell>
          <cell r="O98">
            <v>30</v>
          </cell>
          <cell r="P98">
            <v>30</v>
          </cell>
          <cell r="Q98">
            <v>30</v>
          </cell>
          <cell r="S98">
            <v>30</v>
          </cell>
        </row>
        <row r="99">
          <cell r="A99" t="str">
            <v>Malaysia</v>
          </cell>
          <cell r="B99">
            <v>25</v>
          </cell>
          <cell r="C99">
            <v>28</v>
          </cell>
          <cell r="D99">
            <v>28</v>
          </cell>
          <cell r="E99">
            <v>28</v>
          </cell>
          <cell r="F99">
            <v>27</v>
          </cell>
          <cell r="G99">
            <v>26</v>
          </cell>
          <cell r="H99">
            <v>25</v>
          </cell>
          <cell r="I99">
            <v>25</v>
          </cell>
          <cell r="J99">
            <v>25</v>
          </cell>
          <cell r="K99">
            <v>25</v>
          </cell>
          <cell r="L99">
            <v>25</v>
          </cell>
          <cell r="M99">
            <v>25</v>
          </cell>
          <cell r="N99">
            <v>24</v>
          </cell>
          <cell r="O99">
            <v>24</v>
          </cell>
          <cell r="P99">
            <v>24</v>
          </cell>
          <cell r="Q99">
            <v>24</v>
          </cell>
          <cell r="S99">
            <v>24.833333333333332</v>
          </cell>
        </row>
        <row r="100">
          <cell r="A100" t="str">
            <v>Malta</v>
          </cell>
          <cell r="B100">
            <v>35</v>
          </cell>
          <cell r="C100">
            <v>35</v>
          </cell>
          <cell r="D100">
            <v>35</v>
          </cell>
          <cell r="E100">
            <v>35</v>
          </cell>
          <cell r="F100">
            <v>35</v>
          </cell>
          <cell r="G100">
            <v>35</v>
          </cell>
          <cell r="H100">
            <v>35</v>
          </cell>
          <cell r="I100">
            <v>35</v>
          </cell>
          <cell r="J100">
            <v>35</v>
          </cell>
          <cell r="K100">
            <v>35</v>
          </cell>
          <cell r="L100">
            <v>35</v>
          </cell>
          <cell r="M100">
            <v>35</v>
          </cell>
          <cell r="N100">
            <v>35</v>
          </cell>
          <cell r="O100">
            <v>35</v>
          </cell>
          <cell r="P100">
            <v>35</v>
          </cell>
          <cell r="Q100">
            <v>35</v>
          </cell>
          <cell r="S100">
            <v>35</v>
          </cell>
        </row>
        <row r="101">
          <cell r="A101" t="str">
            <v>Mauritius</v>
          </cell>
          <cell r="B101">
            <v>25</v>
          </cell>
          <cell r="C101">
            <v>25</v>
          </cell>
          <cell r="D101">
            <v>25</v>
          </cell>
          <cell r="E101">
            <v>25</v>
          </cell>
          <cell r="F101">
            <v>22.5</v>
          </cell>
          <cell r="G101">
            <v>15</v>
          </cell>
          <cell r="H101">
            <v>15</v>
          </cell>
          <cell r="I101">
            <v>15</v>
          </cell>
          <cell r="J101">
            <v>15</v>
          </cell>
          <cell r="K101">
            <v>15</v>
          </cell>
          <cell r="L101">
            <v>15</v>
          </cell>
          <cell r="M101">
            <v>15</v>
          </cell>
          <cell r="N101">
            <v>15</v>
          </cell>
          <cell r="O101">
            <v>15</v>
          </cell>
          <cell r="P101">
            <v>15</v>
          </cell>
          <cell r="Q101">
            <v>15</v>
          </cell>
          <cell r="S101">
            <v>15</v>
          </cell>
        </row>
        <row r="102">
          <cell r="A102" t="str">
            <v>Mexico</v>
          </cell>
          <cell r="B102">
            <v>34</v>
          </cell>
          <cell r="C102">
            <v>33</v>
          </cell>
          <cell r="D102">
            <v>30</v>
          </cell>
          <cell r="E102">
            <v>29</v>
          </cell>
          <cell r="F102">
            <v>28</v>
          </cell>
          <cell r="G102">
            <v>28</v>
          </cell>
          <cell r="H102">
            <v>28</v>
          </cell>
          <cell r="I102">
            <v>30</v>
          </cell>
          <cell r="J102">
            <v>30</v>
          </cell>
          <cell r="K102">
            <v>30</v>
          </cell>
          <cell r="L102">
            <v>30</v>
          </cell>
          <cell r="M102">
            <v>30</v>
          </cell>
          <cell r="N102">
            <v>30</v>
          </cell>
          <cell r="O102">
            <v>30</v>
          </cell>
          <cell r="P102">
            <v>30</v>
          </cell>
          <cell r="Q102">
            <v>30</v>
          </cell>
          <cell r="S102">
            <v>30</v>
          </cell>
        </row>
        <row r="103">
          <cell r="A103" t="str">
            <v>Moldova</v>
          </cell>
          <cell r="N103">
            <v>12</v>
          </cell>
          <cell r="O103">
            <v>12</v>
          </cell>
          <cell r="P103">
            <v>12</v>
          </cell>
          <cell r="Q103">
            <v>12</v>
          </cell>
          <cell r="S103">
            <v>12</v>
          </cell>
        </row>
        <row r="104">
          <cell r="A104" t="str">
            <v>Monaco</v>
          </cell>
          <cell r="P104">
            <v>33.33</v>
          </cell>
          <cell r="Q104">
            <v>33</v>
          </cell>
          <cell r="S104" t="e">
            <v>#DIV/0!</v>
          </cell>
        </row>
        <row r="105">
          <cell r="A105" t="str">
            <v>Mongolia</v>
          </cell>
          <cell r="P105">
            <v>25</v>
          </cell>
          <cell r="Q105">
            <v>25</v>
          </cell>
          <cell r="S105" t="e">
            <v>#DIV/0!</v>
          </cell>
        </row>
        <row r="106">
          <cell r="A106" t="str">
            <v>Montenegro</v>
          </cell>
          <cell r="D106">
            <v>9</v>
          </cell>
          <cell r="E106">
            <v>9</v>
          </cell>
          <cell r="F106">
            <v>9</v>
          </cell>
          <cell r="G106">
            <v>9</v>
          </cell>
          <cell r="H106">
            <v>9</v>
          </cell>
          <cell r="I106">
            <v>9</v>
          </cell>
          <cell r="J106">
            <v>9</v>
          </cell>
          <cell r="K106">
            <v>9</v>
          </cell>
          <cell r="L106">
            <v>9</v>
          </cell>
          <cell r="M106">
            <v>9</v>
          </cell>
          <cell r="N106">
            <v>9</v>
          </cell>
          <cell r="O106">
            <v>9</v>
          </cell>
          <cell r="P106">
            <v>9</v>
          </cell>
          <cell r="Q106">
            <v>9</v>
          </cell>
          <cell r="S106">
            <v>9</v>
          </cell>
        </row>
        <row r="107">
          <cell r="A107" t="str">
            <v>Morocco</v>
          </cell>
          <cell r="L107">
            <v>30</v>
          </cell>
          <cell r="M107">
            <v>30</v>
          </cell>
          <cell r="N107">
            <v>31</v>
          </cell>
          <cell r="O107">
            <v>31</v>
          </cell>
          <cell r="P107">
            <v>31</v>
          </cell>
          <cell r="Q107">
            <v>31</v>
          </cell>
          <cell r="S107">
            <v>30.333333333333332</v>
          </cell>
        </row>
        <row r="108">
          <cell r="A108" t="str">
            <v>Mozambique</v>
          </cell>
          <cell r="B108">
            <v>32</v>
          </cell>
          <cell r="C108">
            <v>32</v>
          </cell>
          <cell r="D108">
            <v>32</v>
          </cell>
          <cell r="E108">
            <v>32</v>
          </cell>
          <cell r="F108">
            <v>32</v>
          </cell>
          <cell r="G108">
            <v>32</v>
          </cell>
          <cell r="H108">
            <v>32</v>
          </cell>
          <cell r="I108">
            <v>32</v>
          </cell>
          <cell r="J108">
            <v>32</v>
          </cell>
          <cell r="K108">
            <v>32</v>
          </cell>
          <cell r="L108">
            <v>32</v>
          </cell>
          <cell r="M108">
            <v>32</v>
          </cell>
          <cell r="N108">
            <v>32</v>
          </cell>
          <cell r="O108">
            <v>32</v>
          </cell>
          <cell r="P108">
            <v>32</v>
          </cell>
          <cell r="Q108">
            <v>32</v>
          </cell>
          <cell r="S108">
            <v>32</v>
          </cell>
        </row>
        <row r="109">
          <cell r="A109" t="str">
            <v>Myanmar</v>
          </cell>
          <cell r="P109">
            <v>25</v>
          </cell>
          <cell r="Q109">
            <v>25</v>
          </cell>
          <cell r="S109" t="e">
            <v>#DIV/0!</v>
          </cell>
        </row>
        <row r="110">
          <cell r="A110" t="str">
            <v>Namibia</v>
          </cell>
          <cell r="J110">
            <v>34</v>
          </cell>
          <cell r="K110">
            <v>34</v>
          </cell>
          <cell r="L110">
            <v>33</v>
          </cell>
          <cell r="M110">
            <v>33</v>
          </cell>
          <cell r="N110">
            <v>33</v>
          </cell>
          <cell r="O110">
            <v>32</v>
          </cell>
          <cell r="P110">
            <v>32</v>
          </cell>
          <cell r="Q110">
            <v>32</v>
          </cell>
          <cell r="S110">
            <v>33.4</v>
          </cell>
        </row>
        <row r="111">
          <cell r="A111" t="str">
            <v>Netherlands</v>
          </cell>
          <cell r="B111">
            <v>33</v>
          </cell>
          <cell r="C111">
            <v>34.5</v>
          </cell>
          <cell r="D111">
            <v>31.5</v>
          </cell>
          <cell r="E111">
            <v>29.6</v>
          </cell>
          <cell r="F111">
            <v>25.5</v>
          </cell>
          <cell r="G111">
            <v>25.5</v>
          </cell>
          <cell r="H111">
            <v>25.5</v>
          </cell>
          <cell r="I111">
            <v>25.5</v>
          </cell>
          <cell r="J111">
            <v>25</v>
          </cell>
          <cell r="K111">
            <v>25</v>
          </cell>
          <cell r="L111">
            <v>25</v>
          </cell>
          <cell r="M111">
            <v>25</v>
          </cell>
          <cell r="N111">
            <v>25</v>
          </cell>
          <cell r="O111">
            <v>25</v>
          </cell>
          <cell r="P111">
            <v>25</v>
          </cell>
          <cell r="Q111">
            <v>25</v>
          </cell>
          <cell r="S111">
            <v>25.083333333333332</v>
          </cell>
        </row>
        <row r="112">
          <cell r="A112" t="str">
            <v>New Zealand</v>
          </cell>
          <cell r="B112">
            <v>33</v>
          </cell>
          <cell r="C112">
            <v>33</v>
          </cell>
          <cell r="D112">
            <v>33</v>
          </cell>
          <cell r="E112">
            <v>33</v>
          </cell>
          <cell r="F112">
            <v>33</v>
          </cell>
          <cell r="G112">
            <v>30</v>
          </cell>
          <cell r="H112">
            <v>30</v>
          </cell>
          <cell r="I112">
            <v>30</v>
          </cell>
          <cell r="J112">
            <v>28</v>
          </cell>
          <cell r="K112">
            <v>28</v>
          </cell>
          <cell r="L112">
            <v>28</v>
          </cell>
          <cell r="M112">
            <v>28</v>
          </cell>
          <cell r="N112">
            <v>28</v>
          </cell>
          <cell r="O112">
            <v>28</v>
          </cell>
          <cell r="P112">
            <v>28</v>
          </cell>
          <cell r="Q112">
            <v>28</v>
          </cell>
          <cell r="S112">
            <v>28.333333333333332</v>
          </cell>
        </row>
        <row r="113">
          <cell r="A113" t="str">
            <v>Nicaragua</v>
          </cell>
          <cell r="P113">
            <v>30</v>
          </cell>
          <cell r="Q113">
            <v>30</v>
          </cell>
          <cell r="S113" t="e">
            <v>#DIV/0!</v>
          </cell>
        </row>
        <row r="114">
          <cell r="A114" t="str">
            <v>Nigeria</v>
          </cell>
          <cell r="B114">
            <v>30</v>
          </cell>
          <cell r="C114">
            <v>30</v>
          </cell>
          <cell r="D114">
            <v>30</v>
          </cell>
          <cell r="E114">
            <v>30</v>
          </cell>
          <cell r="F114">
            <v>30</v>
          </cell>
          <cell r="G114">
            <v>30</v>
          </cell>
          <cell r="H114">
            <v>30</v>
          </cell>
          <cell r="I114">
            <v>30</v>
          </cell>
          <cell r="J114">
            <v>30</v>
          </cell>
          <cell r="K114">
            <v>30</v>
          </cell>
          <cell r="L114">
            <v>30</v>
          </cell>
          <cell r="M114">
            <v>30</v>
          </cell>
          <cell r="N114">
            <v>30</v>
          </cell>
          <cell r="O114">
            <v>30</v>
          </cell>
          <cell r="P114">
            <v>30</v>
          </cell>
          <cell r="Q114">
            <v>30</v>
          </cell>
          <cell r="S114">
            <v>30</v>
          </cell>
        </row>
        <row r="115">
          <cell r="A115" t="str">
            <v>Norway</v>
          </cell>
          <cell r="B115">
            <v>28</v>
          </cell>
          <cell r="C115">
            <v>28</v>
          </cell>
          <cell r="D115">
            <v>28</v>
          </cell>
          <cell r="E115">
            <v>28</v>
          </cell>
          <cell r="F115">
            <v>28</v>
          </cell>
          <cell r="G115">
            <v>28</v>
          </cell>
          <cell r="H115">
            <v>28</v>
          </cell>
          <cell r="I115">
            <v>28</v>
          </cell>
          <cell r="J115">
            <v>28</v>
          </cell>
          <cell r="K115">
            <v>28</v>
          </cell>
          <cell r="L115">
            <v>28</v>
          </cell>
          <cell r="M115">
            <v>27</v>
          </cell>
          <cell r="N115">
            <v>27</v>
          </cell>
          <cell r="O115">
            <v>25</v>
          </cell>
          <cell r="P115">
            <v>24</v>
          </cell>
          <cell r="Q115">
            <v>22</v>
          </cell>
          <cell r="S115">
            <v>27.666666666666668</v>
          </cell>
        </row>
        <row r="116">
          <cell r="A116" t="str">
            <v>Oman</v>
          </cell>
          <cell r="B116">
            <v>12</v>
          </cell>
          <cell r="C116">
            <v>12</v>
          </cell>
          <cell r="D116">
            <v>12</v>
          </cell>
          <cell r="E116">
            <v>12</v>
          </cell>
          <cell r="F116">
            <v>12</v>
          </cell>
          <cell r="G116">
            <v>12</v>
          </cell>
          <cell r="H116">
            <v>12</v>
          </cell>
          <cell r="I116">
            <v>12</v>
          </cell>
          <cell r="J116">
            <v>12</v>
          </cell>
          <cell r="K116">
            <v>12</v>
          </cell>
          <cell r="L116">
            <v>12</v>
          </cell>
          <cell r="M116">
            <v>12</v>
          </cell>
          <cell r="N116">
            <v>12</v>
          </cell>
          <cell r="O116">
            <v>12</v>
          </cell>
          <cell r="P116">
            <v>15</v>
          </cell>
          <cell r="Q116">
            <v>15</v>
          </cell>
          <cell r="S116">
            <v>12</v>
          </cell>
        </row>
        <row r="117">
          <cell r="A117" t="str">
            <v>Pakistan</v>
          </cell>
          <cell r="B117">
            <v>35</v>
          </cell>
          <cell r="C117">
            <v>35</v>
          </cell>
          <cell r="D117">
            <v>35</v>
          </cell>
          <cell r="E117">
            <v>35</v>
          </cell>
          <cell r="F117">
            <v>35</v>
          </cell>
          <cell r="G117">
            <v>35</v>
          </cell>
          <cell r="H117">
            <v>35</v>
          </cell>
          <cell r="I117">
            <v>35</v>
          </cell>
          <cell r="J117">
            <v>35</v>
          </cell>
          <cell r="K117">
            <v>35</v>
          </cell>
          <cell r="L117">
            <v>35</v>
          </cell>
          <cell r="M117">
            <v>34</v>
          </cell>
          <cell r="N117">
            <v>33</v>
          </cell>
          <cell r="O117">
            <v>32</v>
          </cell>
          <cell r="P117">
            <v>31</v>
          </cell>
          <cell r="Q117">
            <v>30</v>
          </cell>
          <cell r="S117">
            <v>34.5</v>
          </cell>
        </row>
        <row r="118">
          <cell r="A118" t="str">
            <v>Palestinian Territory</v>
          </cell>
          <cell r="P118">
            <v>15</v>
          </cell>
          <cell r="Q118">
            <v>15</v>
          </cell>
          <cell r="S118" t="e">
            <v>#DIV/0!</v>
          </cell>
        </row>
        <row r="119">
          <cell r="A119" t="str">
            <v>Panama</v>
          </cell>
          <cell r="B119">
            <v>30</v>
          </cell>
          <cell r="C119">
            <v>30</v>
          </cell>
          <cell r="D119">
            <v>30</v>
          </cell>
          <cell r="E119">
            <v>30</v>
          </cell>
          <cell r="F119">
            <v>30</v>
          </cell>
          <cell r="G119">
            <v>30</v>
          </cell>
          <cell r="H119">
            <v>30</v>
          </cell>
          <cell r="I119">
            <v>27.5</v>
          </cell>
          <cell r="J119">
            <v>25</v>
          </cell>
          <cell r="K119">
            <v>25</v>
          </cell>
          <cell r="L119">
            <v>25</v>
          </cell>
          <cell r="M119">
            <v>25</v>
          </cell>
          <cell r="N119">
            <v>25</v>
          </cell>
          <cell r="O119">
            <v>25</v>
          </cell>
          <cell r="P119">
            <v>25</v>
          </cell>
          <cell r="Q119">
            <v>25</v>
          </cell>
          <cell r="S119">
            <v>25.416666666666668</v>
          </cell>
        </row>
        <row r="120">
          <cell r="A120" t="str">
            <v>Papua New Guinea</v>
          </cell>
          <cell r="B120">
            <v>27</v>
          </cell>
          <cell r="C120">
            <v>30</v>
          </cell>
          <cell r="D120">
            <v>30</v>
          </cell>
          <cell r="E120">
            <v>30</v>
          </cell>
          <cell r="F120">
            <v>30</v>
          </cell>
          <cell r="G120">
            <v>30</v>
          </cell>
          <cell r="H120">
            <v>30</v>
          </cell>
          <cell r="I120">
            <v>30</v>
          </cell>
          <cell r="J120">
            <v>30</v>
          </cell>
          <cell r="K120">
            <v>30</v>
          </cell>
          <cell r="L120">
            <v>30</v>
          </cell>
          <cell r="M120">
            <v>30</v>
          </cell>
          <cell r="N120">
            <v>30</v>
          </cell>
          <cell r="O120">
            <v>30</v>
          </cell>
          <cell r="P120">
            <v>30</v>
          </cell>
          <cell r="Q120">
            <v>30</v>
          </cell>
          <cell r="S120">
            <v>30</v>
          </cell>
        </row>
        <row r="121">
          <cell r="A121" t="str">
            <v>Paraguay</v>
          </cell>
          <cell r="B121">
            <v>32</v>
          </cell>
          <cell r="C121">
            <v>30</v>
          </cell>
          <cell r="D121">
            <v>20</v>
          </cell>
          <cell r="E121">
            <v>10</v>
          </cell>
          <cell r="F121">
            <v>10</v>
          </cell>
          <cell r="G121">
            <v>10</v>
          </cell>
          <cell r="H121">
            <v>10</v>
          </cell>
          <cell r="I121">
            <v>10</v>
          </cell>
          <cell r="J121">
            <v>10</v>
          </cell>
          <cell r="K121">
            <v>10</v>
          </cell>
          <cell r="L121">
            <v>10</v>
          </cell>
          <cell r="M121">
            <v>10</v>
          </cell>
          <cell r="N121">
            <v>10</v>
          </cell>
          <cell r="O121">
            <v>10</v>
          </cell>
          <cell r="P121">
            <v>10</v>
          </cell>
          <cell r="Q121">
            <v>10</v>
          </cell>
          <cell r="S121">
            <v>10</v>
          </cell>
        </row>
        <row r="122">
          <cell r="A122" t="str">
            <v>Peru</v>
          </cell>
          <cell r="B122">
            <v>27</v>
          </cell>
          <cell r="C122">
            <v>30</v>
          </cell>
          <cell r="D122">
            <v>30</v>
          </cell>
          <cell r="E122">
            <v>30</v>
          </cell>
          <cell r="F122">
            <v>30</v>
          </cell>
          <cell r="G122">
            <v>30</v>
          </cell>
          <cell r="H122">
            <v>30</v>
          </cell>
          <cell r="I122">
            <v>30</v>
          </cell>
          <cell r="J122">
            <v>30</v>
          </cell>
          <cell r="K122">
            <v>30</v>
          </cell>
          <cell r="L122">
            <v>30</v>
          </cell>
          <cell r="M122">
            <v>30</v>
          </cell>
          <cell r="N122">
            <v>28</v>
          </cell>
          <cell r="O122">
            <v>28</v>
          </cell>
          <cell r="P122">
            <v>29.5</v>
          </cell>
          <cell r="Q122">
            <v>29.5</v>
          </cell>
          <cell r="S122">
            <v>29.666666666666668</v>
          </cell>
        </row>
        <row r="123">
          <cell r="A123" t="str">
            <v>Philippines</v>
          </cell>
          <cell r="B123">
            <v>33</v>
          </cell>
          <cell r="C123">
            <v>32</v>
          </cell>
          <cell r="D123">
            <v>32</v>
          </cell>
          <cell r="E123">
            <v>35</v>
          </cell>
          <cell r="F123">
            <v>35</v>
          </cell>
          <cell r="G123">
            <v>35</v>
          </cell>
          <cell r="H123">
            <v>30</v>
          </cell>
          <cell r="I123">
            <v>30</v>
          </cell>
          <cell r="J123">
            <v>30</v>
          </cell>
          <cell r="K123">
            <v>30</v>
          </cell>
          <cell r="L123">
            <v>30</v>
          </cell>
          <cell r="M123">
            <v>30</v>
          </cell>
          <cell r="N123">
            <v>30</v>
          </cell>
          <cell r="O123">
            <v>30</v>
          </cell>
          <cell r="P123">
            <v>30</v>
          </cell>
          <cell r="Q123">
            <v>30</v>
          </cell>
          <cell r="S123">
            <v>30</v>
          </cell>
        </row>
        <row r="124">
          <cell r="A124" t="str">
            <v>Poland</v>
          </cell>
          <cell r="B124">
            <v>27</v>
          </cell>
          <cell r="C124">
            <v>19</v>
          </cell>
          <cell r="D124">
            <v>19</v>
          </cell>
          <cell r="E124">
            <v>19</v>
          </cell>
          <cell r="F124">
            <v>19</v>
          </cell>
          <cell r="G124">
            <v>19</v>
          </cell>
          <cell r="H124">
            <v>19</v>
          </cell>
          <cell r="I124">
            <v>19</v>
          </cell>
          <cell r="J124">
            <v>19</v>
          </cell>
          <cell r="K124">
            <v>19</v>
          </cell>
          <cell r="L124">
            <v>19</v>
          </cell>
          <cell r="M124">
            <v>19</v>
          </cell>
          <cell r="N124">
            <v>19</v>
          </cell>
          <cell r="O124">
            <v>19</v>
          </cell>
          <cell r="P124">
            <v>19</v>
          </cell>
          <cell r="Q124">
            <v>19</v>
          </cell>
          <cell r="S124">
            <v>19</v>
          </cell>
        </row>
        <row r="125">
          <cell r="A125" t="str">
            <v>Portugal</v>
          </cell>
          <cell r="B125">
            <v>25</v>
          </cell>
          <cell r="C125">
            <v>27.5</v>
          </cell>
          <cell r="D125">
            <v>27.5</v>
          </cell>
          <cell r="E125">
            <v>27.5</v>
          </cell>
          <cell r="F125">
            <v>25</v>
          </cell>
          <cell r="G125">
            <v>25</v>
          </cell>
          <cell r="H125">
            <v>25</v>
          </cell>
          <cell r="I125">
            <v>25</v>
          </cell>
          <cell r="J125">
            <v>25</v>
          </cell>
          <cell r="K125">
            <v>25</v>
          </cell>
          <cell r="L125">
            <v>25</v>
          </cell>
          <cell r="M125">
            <v>23</v>
          </cell>
          <cell r="N125">
            <v>21</v>
          </cell>
          <cell r="O125">
            <v>21</v>
          </cell>
          <cell r="P125">
            <v>21</v>
          </cell>
          <cell r="Q125">
            <v>21</v>
          </cell>
          <cell r="S125">
            <v>24</v>
          </cell>
        </row>
        <row r="126">
          <cell r="A126" t="str">
            <v>Qatar</v>
          </cell>
          <cell r="B126">
            <v>35</v>
          </cell>
          <cell r="C126">
            <v>35</v>
          </cell>
          <cell r="D126">
            <v>35</v>
          </cell>
          <cell r="E126">
            <v>35</v>
          </cell>
          <cell r="F126">
            <v>35</v>
          </cell>
          <cell r="G126">
            <v>35</v>
          </cell>
          <cell r="H126">
            <v>35</v>
          </cell>
          <cell r="I126">
            <v>10</v>
          </cell>
          <cell r="J126">
            <v>10</v>
          </cell>
          <cell r="K126">
            <v>10</v>
          </cell>
          <cell r="L126">
            <v>10</v>
          </cell>
          <cell r="M126">
            <v>10</v>
          </cell>
          <cell r="N126">
            <v>10</v>
          </cell>
          <cell r="P126">
            <v>10</v>
          </cell>
          <cell r="Q126">
            <v>10</v>
          </cell>
          <cell r="S126">
            <v>10</v>
          </cell>
        </row>
        <row r="127">
          <cell r="A127" t="str">
            <v>Romania</v>
          </cell>
          <cell r="B127">
            <v>25</v>
          </cell>
          <cell r="C127">
            <v>25</v>
          </cell>
          <cell r="D127">
            <v>16</v>
          </cell>
          <cell r="E127">
            <v>16</v>
          </cell>
          <cell r="F127">
            <v>16</v>
          </cell>
          <cell r="G127">
            <v>16</v>
          </cell>
          <cell r="H127">
            <v>16</v>
          </cell>
          <cell r="I127">
            <v>16</v>
          </cell>
          <cell r="J127">
            <v>16</v>
          </cell>
          <cell r="K127">
            <v>16</v>
          </cell>
          <cell r="L127">
            <v>16</v>
          </cell>
          <cell r="M127">
            <v>16</v>
          </cell>
          <cell r="N127">
            <v>16</v>
          </cell>
          <cell r="O127">
            <v>16</v>
          </cell>
          <cell r="P127">
            <v>16</v>
          </cell>
          <cell r="Q127">
            <v>16</v>
          </cell>
          <cell r="S127">
            <v>16</v>
          </cell>
        </row>
        <row r="128">
          <cell r="A128" t="str">
            <v>Russia</v>
          </cell>
          <cell r="B128">
            <v>24</v>
          </cell>
          <cell r="C128">
            <v>24</v>
          </cell>
          <cell r="D128">
            <v>24</v>
          </cell>
          <cell r="E128">
            <v>24</v>
          </cell>
          <cell r="F128">
            <v>24</v>
          </cell>
          <cell r="G128">
            <v>24</v>
          </cell>
          <cell r="H128">
            <v>20</v>
          </cell>
          <cell r="I128">
            <v>20</v>
          </cell>
          <cell r="J128">
            <v>20</v>
          </cell>
          <cell r="K128">
            <v>20</v>
          </cell>
          <cell r="L128">
            <v>20</v>
          </cell>
          <cell r="M128">
            <v>20</v>
          </cell>
          <cell r="N128">
            <v>20</v>
          </cell>
          <cell r="O128">
            <v>20</v>
          </cell>
          <cell r="P128">
            <v>20</v>
          </cell>
          <cell r="Q128">
            <v>20</v>
          </cell>
          <cell r="S128">
            <v>20</v>
          </cell>
        </row>
        <row r="129">
          <cell r="A129" t="str">
            <v>Rwanda</v>
          </cell>
          <cell r="P129">
            <v>30</v>
          </cell>
          <cell r="Q129">
            <v>30</v>
          </cell>
          <cell r="S129" t="e">
            <v>#DIV/0!</v>
          </cell>
        </row>
        <row r="130">
          <cell r="A130" t="str">
            <v>Saint Kitts and Nevis</v>
          </cell>
          <cell r="P130">
            <v>33</v>
          </cell>
          <cell r="Q130">
            <v>33</v>
          </cell>
          <cell r="S130" t="e">
            <v>#DIV/0!</v>
          </cell>
        </row>
        <row r="131">
          <cell r="A131" t="str">
            <v>Saint Lucia</v>
          </cell>
          <cell r="P131">
            <v>30</v>
          </cell>
          <cell r="Q131">
            <v>30</v>
          </cell>
          <cell r="S131" t="e">
            <v>#DIV/0!</v>
          </cell>
        </row>
        <row r="132">
          <cell r="A132" t="str">
            <v>Saint Vincent and the Grenadines</v>
          </cell>
          <cell r="P132">
            <v>32.5</v>
          </cell>
          <cell r="Q132">
            <v>30</v>
          </cell>
          <cell r="S132" t="e">
            <v>#DIV/0!</v>
          </cell>
        </row>
        <row r="133">
          <cell r="A133" t="str">
            <v>Samoa</v>
          </cell>
          <cell r="B133">
            <v>29</v>
          </cell>
          <cell r="C133">
            <v>29</v>
          </cell>
          <cell r="D133">
            <v>29</v>
          </cell>
          <cell r="E133">
            <v>29</v>
          </cell>
          <cell r="F133">
            <v>27</v>
          </cell>
          <cell r="G133">
            <v>27</v>
          </cell>
          <cell r="H133">
            <v>27</v>
          </cell>
          <cell r="I133">
            <v>27</v>
          </cell>
          <cell r="J133">
            <v>27</v>
          </cell>
          <cell r="K133">
            <v>27</v>
          </cell>
          <cell r="L133">
            <v>27</v>
          </cell>
          <cell r="M133">
            <v>27</v>
          </cell>
          <cell r="N133">
            <v>27</v>
          </cell>
          <cell r="O133">
            <v>27</v>
          </cell>
          <cell r="P133">
            <v>27</v>
          </cell>
          <cell r="Q133">
            <v>27</v>
          </cell>
          <cell r="S133">
            <v>27</v>
          </cell>
        </row>
        <row r="134">
          <cell r="A134" t="str">
            <v>Saudi Arabia</v>
          </cell>
          <cell r="B134">
            <v>30</v>
          </cell>
          <cell r="C134">
            <v>30</v>
          </cell>
          <cell r="D134">
            <v>30</v>
          </cell>
          <cell r="E134">
            <v>20</v>
          </cell>
          <cell r="F134">
            <v>20</v>
          </cell>
          <cell r="G134">
            <v>20</v>
          </cell>
          <cell r="H134">
            <v>20</v>
          </cell>
          <cell r="I134">
            <v>20</v>
          </cell>
          <cell r="J134">
            <v>20</v>
          </cell>
          <cell r="K134">
            <v>20</v>
          </cell>
          <cell r="L134">
            <v>20</v>
          </cell>
          <cell r="M134">
            <v>20</v>
          </cell>
          <cell r="N134">
            <v>20</v>
          </cell>
          <cell r="O134">
            <v>20</v>
          </cell>
          <cell r="P134">
            <v>20</v>
          </cell>
          <cell r="Q134">
            <v>20</v>
          </cell>
          <cell r="S134">
            <v>20</v>
          </cell>
        </row>
        <row r="135">
          <cell r="A135" t="str">
            <v>Senegal</v>
          </cell>
          <cell r="P135">
            <v>30</v>
          </cell>
          <cell r="Q135">
            <v>30</v>
          </cell>
          <cell r="S135" t="e">
            <v>#DIV/0!</v>
          </cell>
        </row>
        <row r="136">
          <cell r="A136" t="str">
            <v>Serbia</v>
          </cell>
          <cell r="B136">
            <v>14</v>
          </cell>
          <cell r="C136">
            <v>12.33</v>
          </cell>
          <cell r="D136">
            <v>10</v>
          </cell>
          <cell r="E136">
            <v>10</v>
          </cell>
          <cell r="F136">
            <v>10</v>
          </cell>
          <cell r="G136">
            <v>10</v>
          </cell>
          <cell r="H136">
            <v>10</v>
          </cell>
          <cell r="I136">
            <v>10</v>
          </cell>
          <cell r="J136">
            <v>10</v>
          </cell>
          <cell r="K136">
            <v>10</v>
          </cell>
          <cell r="L136">
            <v>15</v>
          </cell>
          <cell r="M136">
            <v>15</v>
          </cell>
          <cell r="N136">
            <v>15</v>
          </cell>
          <cell r="O136">
            <v>15</v>
          </cell>
          <cell r="P136">
            <v>15</v>
          </cell>
          <cell r="Q136">
            <v>15</v>
          </cell>
          <cell r="S136">
            <v>12.5</v>
          </cell>
        </row>
        <row r="137">
          <cell r="A137" t="str">
            <v>Sierra Leone</v>
          </cell>
          <cell r="M137">
            <v>30</v>
          </cell>
          <cell r="N137">
            <v>30</v>
          </cell>
          <cell r="O137">
            <v>30</v>
          </cell>
          <cell r="P137">
            <v>30</v>
          </cell>
          <cell r="Q137">
            <v>30</v>
          </cell>
          <cell r="S137">
            <v>30</v>
          </cell>
        </row>
        <row r="138">
          <cell r="A138" t="str">
            <v>Singapore</v>
          </cell>
          <cell r="B138">
            <v>22</v>
          </cell>
          <cell r="C138">
            <v>22</v>
          </cell>
          <cell r="D138">
            <v>20</v>
          </cell>
          <cell r="E138">
            <v>20</v>
          </cell>
          <cell r="F138">
            <v>20</v>
          </cell>
          <cell r="G138">
            <v>18</v>
          </cell>
          <cell r="H138">
            <v>18</v>
          </cell>
          <cell r="I138">
            <v>17</v>
          </cell>
          <cell r="J138">
            <v>17</v>
          </cell>
          <cell r="K138">
            <v>17</v>
          </cell>
          <cell r="L138">
            <v>17</v>
          </cell>
          <cell r="M138">
            <v>17</v>
          </cell>
          <cell r="N138">
            <v>17</v>
          </cell>
          <cell r="O138">
            <v>17</v>
          </cell>
          <cell r="P138">
            <v>17</v>
          </cell>
          <cell r="Q138">
            <v>17</v>
          </cell>
          <cell r="S138">
            <v>17</v>
          </cell>
        </row>
        <row r="139">
          <cell r="A139" t="str">
            <v>Sint Maarten (Dutch part)</v>
          </cell>
          <cell r="J139">
            <v>34.5</v>
          </cell>
          <cell r="K139">
            <v>34.5</v>
          </cell>
          <cell r="L139">
            <v>34.5</v>
          </cell>
          <cell r="M139">
            <v>34.5</v>
          </cell>
          <cell r="N139">
            <v>34.5</v>
          </cell>
          <cell r="O139">
            <v>34.5</v>
          </cell>
          <cell r="P139">
            <v>34.5</v>
          </cell>
          <cell r="Q139">
            <v>35</v>
          </cell>
          <cell r="S139">
            <v>34.5</v>
          </cell>
        </row>
        <row r="140">
          <cell r="A140" t="str">
            <v>Slovakia</v>
          </cell>
          <cell r="B140">
            <v>25</v>
          </cell>
          <cell r="C140">
            <v>19</v>
          </cell>
          <cell r="D140">
            <v>19</v>
          </cell>
          <cell r="E140">
            <v>19</v>
          </cell>
          <cell r="F140">
            <v>19</v>
          </cell>
          <cell r="G140">
            <v>19</v>
          </cell>
          <cell r="H140">
            <v>19</v>
          </cell>
          <cell r="I140">
            <v>19</v>
          </cell>
          <cell r="J140">
            <v>19</v>
          </cell>
          <cell r="K140">
            <v>19</v>
          </cell>
          <cell r="L140">
            <v>23</v>
          </cell>
          <cell r="M140">
            <v>22</v>
          </cell>
          <cell r="N140">
            <v>22</v>
          </cell>
          <cell r="O140">
            <v>22</v>
          </cell>
          <cell r="P140">
            <v>21</v>
          </cell>
          <cell r="Q140">
            <v>21</v>
          </cell>
          <cell r="S140">
            <v>20.666666666666668</v>
          </cell>
        </row>
        <row r="141">
          <cell r="A141" t="str">
            <v>Slovenia</v>
          </cell>
          <cell r="B141">
            <v>35</v>
          </cell>
          <cell r="C141">
            <v>25</v>
          </cell>
          <cell r="D141">
            <v>25</v>
          </cell>
          <cell r="E141">
            <v>25</v>
          </cell>
          <cell r="F141">
            <v>23</v>
          </cell>
          <cell r="G141">
            <v>22</v>
          </cell>
          <cell r="H141">
            <v>21</v>
          </cell>
          <cell r="I141">
            <v>20</v>
          </cell>
          <cell r="J141">
            <v>20</v>
          </cell>
          <cell r="K141">
            <v>18</v>
          </cell>
          <cell r="L141">
            <v>17</v>
          </cell>
          <cell r="M141">
            <v>17</v>
          </cell>
          <cell r="N141">
            <v>17</v>
          </cell>
          <cell r="O141">
            <v>17</v>
          </cell>
          <cell r="P141">
            <v>19</v>
          </cell>
          <cell r="Q141">
            <v>19</v>
          </cell>
          <cell r="S141">
            <v>18.166666666666668</v>
          </cell>
        </row>
        <row r="142">
          <cell r="A142" t="str">
            <v>Solomon Islands</v>
          </cell>
          <cell r="P142">
            <v>30</v>
          </cell>
          <cell r="Q142">
            <v>30</v>
          </cell>
          <cell r="S142" t="e">
            <v>#DIV/0!</v>
          </cell>
        </row>
        <row r="143">
          <cell r="A143" t="str">
            <v>South Africa</v>
          </cell>
          <cell r="B143">
            <v>37.78</v>
          </cell>
          <cell r="C143">
            <v>37.78</v>
          </cell>
          <cell r="D143">
            <v>37.78</v>
          </cell>
          <cell r="E143">
            <v>36.89</v>
          </cell>
          <cell r="F143">
            <v>36.89</v>
          </cell>
          <cell r="G143">
            <v>34.549999999999997</v>
          </cell>
          <cell r="H143">
            <v>34.549999999999997</v>
          </cell>
          <cell r="I143">
            <v>34.549999999999997</v>
          </cell>
          <cell r="J143">
            <v>34.549999999999997</v>
          </cell>
          <cell r="K143">
            <v>34.549999999999997</v>
          </cell>
          <cell r="L143">
            <v>28</v>
          </cell>
          <cell r="M143">
            <v>28</v>
          </cell>
          <cell r="N143">
            <v>28</v>
          </cell>
          <cell r="O143">
            <v>28</v>
          </cell>
          <cell r="P143">
            <v>28</v>
          </cell>
          <cell r="Q143">
            <v>28</v>
          </cell>
          <cell r="S143">
            <v>31.274999999999995</v>
          </cell>
        </row>
        <row r="144">
          <cell r="A144" t="str">
            <v>Spain</v>
          </cell>
          <cell r="B144">
            <v>35</v>
          </cell>
          <cell r="C144">
            <v>35</v>
          </cell>
          <cell r="D144">
            <v>35</v>
          </cell>
          <cell r="E144">
            <v>35</v>
          </cell>
          <cell r="F144">
            <v>32.5</v>
          </cell>
          <cell r="G144">
            <v>30</v>
          </cell>
          <cell r="H144">
            <v>30</v>
          </cell>
          <cell r="I144">
            <v>30</v>
          </cell>
          <cell r="J144">
            <v>30</v>
          </cell>
          <cell r="K144">
            <v>30</v>
          </cell>
          <cell r="L144">
            <v>30</v>
          </cell>
          <cell r="M144">
            <v>30</v>
          </cell>
          <cell r="N144">
            <v>28</v>
          </cell>
          <cell r="O144">
            <v>25</v>
          </cell>
          <cell r="P144">
            <v>25</v>
          </cell>
          <cell r="Q144">
            <v>25</v>
          </cell>
          <cell r="S144">
            <v>29.666666666666668</v>
          </cell>
        </row>
        <row r="145">
          <cell r="A145" t="str">
            <v>Sri Lanka</v>
          </cell>
          <cell r="B145">
            <v>28</v>
          </cell>
          <cell r="C145">
            <v>35</v>
          </cell>
          <cell r="D145">
            <v>32.5</v>
          </cell>
          <cell r="E145">
            <v>32.5</v>
          </cell>
          <cell r="F145">
            <v>35</v>
          </cell>
          <cell r="G145">
            <v>35</v>
          </cell>
          <cell r="H145">
            <v>35</v>
          </cell>
          <cell r="I145">
            <v>35</v>
          </cell>
          <cell r="J145">
            <v>28</v>
          </cell>
          <cell r="K145">
            <v>28</v>
          </cell>
          <cell r="L145">
            <v>28</v>
          </cell>
          <cell r="M145">
            <v>28</v>
          </cell>
          <cell r="N145">
            <v>28</v>
          </cell>
          <cell r="O145">
            <v>15</v>
          </cell>
          <cell r="P145">
            <v>28</v>
          </cell>
          <cell r="Q145">
            <v>28</v>
          </cell>
          <cell r="S145">
            <v>29.166666666666668</v>
          </cell>
        </row>
        <row r="146">
          <cell r="A146" t="str">
            <v>St Maarten</v>
          </cell>
          <cell r="N146">
            <v>24.5</v>
          </cell>
          <cell r="O146">
            <v>34.5</v>
          </cell>
          <cell r="P146">
            <v>34.5</v>
          </cell>
          <cell r="Q146">
            <v>35</v>
          </cell>
          <cell r="S146">
            <v>24.5</v>
          </cell>
        </row>
        <row r="147">
          <cell r="A147" t="str">
            <v>Sudan</v>
          </cell>
          <cell r="B147">
            <v>35</v>
          </cell>
          <cell r="C147">
            <v>35</v>
          </cell>
          <cell r="D147">
            <v>35</v>
          </cell>
          <cell r="E147">
            <v>35</v>
          </cell>
          <cell r="F147">
            <v>30</v>
          </cell>
          <cell r="G147">
            <v>15</v>
          </cell>
          <cell r="H147">
            <v>15</v>
          </cell>
          <cell r="I147">
            <v>15</v>
          </cell>
          <cell r="J147">
            <v>35</v>
          </cell>
          <cell r="K147">
            <v>35</v>
          </cell>
          <cell r="L147">
            <v>35</v>
          </cell>
          <cell r="M147">
            <v>35</v>
          </cell>
          <cell r="N147">
            <v>35</v>
          </cell>
          <cell r="O147">
            <v>35</v>
          </cell>
          <cell r="P147">
            <v>35</v>
          </cell>
          <cell r="Q147">
            <v>35</v>
          </cell>
          <cell r="S147">
            <v>31.666666666666668</v>
          </cell>
        </row>
        <row r="148">
          <cell r="A148" t="str">
            <v>Suriname</v>
          </cell>
          <cell r="L148">
            <v>36</v>
          </cell>
          <cell r="M148">
            <v>34.5</v>
          </cell>
          <cell r="N148">
            <v>34.5</v>
          </cell>
          <cell r="O148">
            <v>34.5</v>
          </cell>
          <cell r="P148">
            <v>36</v>
          </cell>
          <cell r="Q148">
            <v>36</v>
          </cell>
          <cell r="S148">
            <v>35</v>
          </cell>
        </row>
        <row r="149">
          <cell r="A149" t="str">
            <v>Swaziland</v>
          </cell>
          <cell r="P149">
            <v>27.5</v>
          </cell>
          <cell r="Q149">
            <v>27.5</v>
          </cell>
          <cell r="S149" t="e">
            <v>#DIV/0!</v>
          </cell>
        </row>
        <row r="150">
          <cell r="A150" t="str">
            <v>Sweden</v>
          </cell>
          <cell r="B150">
            <v>28</v>
          </cell>
          <cell r="C150">
            <v>28</v>
          </cell>
          <cell r="D150">
            <v>28</v>
          </cell>
          <cell r="E150">
            <v>28</v>
          </cell>
          <cell r="F150">
            <v>28</v>
          </cell>
          <cell r="G150">
            <v>28</v>
          </cell>
          <cell r="H150">
            <v>26.3</v>
          </cell>
          <cell r="I150">
            <v>26.3</v>
          </cell>
          <cell r="J150">
            <v>26.3</v>
          </cell>
          <cell r="K150">
            <v>26.3</v>
          </cell>
          <cell r="L150">
            <v>22</v>
          </cell>
          <cell r="M150">
            <v>22</v>
          </cell>
          <cell r="N150">
            <v>22</v>
          </cell>
          <cell r="O150">
            <v>22</v>
          </cell>
          <cell r="P150">
            <v>22</v>
          </cell>
          <cell r="Q150">
            <v>21.4</v>
          </cell>
          <cell r="S150">
            <v>24.150000000000002</v>
          </cell>
        </row>
        <row r="151">
          <cell r="A151" t="str">
            <v>Switzerland</v>
          </cell>
          <cell r="B151">
            <v>25</v>
          </cell>
          <cell r="C151">
            <v>24.1</v>
          </cell>
          <cell r="D151">
            <v>21.99</v>
          </cell>
          <cell r="E151">
            <v>21.3</v>
          </cell>
          <cell r="F151">
            <v>20.63</v>
          </cell>
          <cell r="G151">
            <v>19.2</v>
          </cell>
          <cell r="H151">
            <v>18.96</v>
          </cell>
          <cell r="I151">
            <v>18.75</v>
          </cell>
          <cell r="J151">
            <v>18.309999999999999</v>
          </cell>
          <cell r="K151">
            <v>18.059999999999999</v>
          </cell>
          <cell r="L151">
            <v>18.010000000000002</v>
          </cell>
          <cell r="M151">
            <v>17.920000000000002</v>
          </cell>
          <cell r="N151">
            <v>17.920000000000002</v>
          </cell>
          <cell r="O151">
            <v>17.920000000000002</v>
          </cell>
          <cell r="P151">
            <v>17.77</v>
          </cell>
          <cell r="Q151">
            <v>18</v>
          </cell>
          <cell r="S151">
            <v>18.161666666666669</v>
          </cell>
        </row>
        <row r="152">
          <cell r="A152" t="str">
            <v>Syria</v>
          </cell>
          <cell r="B152">
            <v>35</v>
          </cell>
          <cell r="C152">
            <v>35</v>
          </cell>
          <cell r="D152">
            <v>35</v>
          </cell>
          <cell r="E152">
            <v>35</v>
          </cell>
          <cell r="F152">
            <v>28</v>
          </cell>
          <cell r="G152">
            <v>28</v>
          </cell>
          <cell r="H152">
            <v>28</v>
          </cell>
          <cell r="I152">
            <v>28</v>
          </cell>
          <cell r="J152">
            <v>28</v>
          </cell>
          <cell r="K152">
            <v>28</v>
          </cell>
          <cell r="L152">
            <v>22</v>
          </cell>
          <cell r="M152">
            <v>22</v>
          </cell>
          <cell r="N152">
            <v>22</v>
          </cell>
          <cell r="O152">
            <v>22</v>
          </cell>
          <cell r="P152">
            <v>28</v>
          </cell>
          <cell r="Q152">
            <v>28</v>
          </cell>
          <cell r="S152">
            <v>25</v>
          </cell>
        </row>
        <row r="153">
          <cell r="A153" t="str">
            <v>Taiwan</v>
          </cell>
          <cell r="B153">
            <v>25</v>
          </cell>
          <cell r="C153">
            <v>25</v>
          </cell>
          <cell r="D153">
            <v>25</v>
          </cell>
          <cell r="E153">
            <v>25</v>
          </cell>
          <cell r="F153">
            <v>25</v>
          </cell>
          <cell r="G153">
            <v>25</v>
          </cell>
          <cell r="H153">
            <v>25</v>
          </cell>
          <cell r="I153">
            <v>17</v>
          </cell>
          <cell r="J153">
            <v>17</v>
          </cell>
          <cell r="K153">
            <v>17</v>
          </cell>
          <cell r="L153">
            <v>17</v>
          </cell>
          <cell r="M153">
            <v>17</v>
          </cell>
          <cell r="N153">
            <v>17</v>
          </cell>
          <cell r="O153">
            <v>17</v>
          </cell>
          <cell r="P153">
            <v>17</v>
          </cell>
          <cell r="Q153">
            <v>20</v>
          </cell>
          <cell r="S153">
            <v>17</v>
          </cell>
        </row>
        <row r="154">
          <cell r="A154" t="str">
            <v>Tanzania</v>
          </cell>
          <cell r="H154">
            <v>30</v>
          </cell>
          <cell r="I154">
            <v>30</v>
          </cell>
          <cell r="J154">
            <v>30</v>
          </cell>
          <cell r="K154">
            <v>30</v>
          </cell>
          <cell r="L154">
            <v>30</v>
          </cell>
          <cell r="M154">
            <v>30</v>
          </cell>
          <cell r="N154">
            <v>30</v>
          </cell>
          <cell r="O154">
            <v>30</v>
          </cell>
          <cell r="P154">
            <v>30</v>
          </cell>
          <cell r="Q154">
            <v>30</v>
          </cell>
          <cell r="S154">
            <v>30</v>
          </cell>
        </row>
        <row r="155">
          <cell r="A155" t="str">
            <v>Thailand</v>
          </cell>
          <cell r="B155">
            <v>30</v>
          </cell>
          <cell r="C155">
            <v>30</v>
          </cell>
          <cell r="D155">
            <v>30</v>
          </cell>
          <cell r="E155">
            <v>30</v>
          </cell>
          <cell r="F155">
            <v>30</v>
          </cell>
          <cell r="G155">
            <v>30</v>
          </cell>
          <cell r="H155">
            <v>30</v>
          </cell>
          <cell r="I155">
            <v>30</v>
          </cell>
          <cell r="J155">
            <v>30</v>
          </cell>
          <cell r="K155">
            <v>23</v>
          </cell>
          <cell r="L155">
            <v>20</v>
          </cell>
          <cell r="M155">
            <v>20</v>
          </cell>
          <cell r="N155">
            <v>20</v>
          </cell>
          <cell r="O155">
            <v>20</v>
          </cell>
          <cell r="P155">
            <v>20</v>
          </cell>
          <cell r="Q155">
            <v>20</v>
          </cell>
          <cell r="S155">
            <v>23.833333333333332</v>
          </cell>
        </row>
        <row r="156">
          <cell r="A156" t="str">
            <v>Trinidad and Tobago</v>
          </cell>
          <cell r="K156">
            <v>25</v>
          </cell>
          <cell r="L156">
            <v>25</v>
          </cell>
          <cell r="M156">
            <v>25</v>
          </cell>
          <cell r="N156">
            <v>25</v>
          </cell>
          <cell r="O156">
            <v>25</v>
          </cell>
          <cell r="P156">
            <v>25</v>
          </cell>
          <cell r="Q156">
            <v>25</v>
          </cell>
          <cell r="S156">
            <v>25</v>
          </cell>
        </row>
        <row r="157">
          <cell r="A157" t="str">
            <v>Tunisia</v>
          </cell>
          <cell r="B157">
            <v>35</v>
          </cell>
          <cell r="C157">
            <v>35</v>
          </cell>
          <cell r="D157">
            <v>35</v>
          </cell>
          <cell r="E157">
            <v>35</v>
          </cell>
          <cell r="F157">
            <v>30</v>
          </cell>
          <cell r="G157">
            <v>30</v>
          </cell>
          <cell r="H157">
            <v>30</v>
          </cell>
          <cell r="I157">
            <v>30</v>
          </cell>
          <cell r="J157">
            <v>30</v>
          </cell>
          <cell r="K157">
            <v>30</v>
          </cell>
          <cell r="L157">
            <v>30</v>
          </cell>
          <cell r="M157">
            <v>25</v>
          </cell>
          <cell r="N157">
            <v>25</v>
          </cell>
          <cell r="O157">
            <v>25</v>
          </cell>
          <cell r="P157">
            <v>25</v>
          </cell>
          <cell r="Q157">
            <v>25</v>
          </cell>
          <cell r="S157">
            <v>28.333333333333332</v>
          </cell>
        </row>
        <row r="158">
          <cell r="A158" t="str">
            <v>Turkey</v>
          </cell>
          <cell r="B158">
            <v>30</v>
          </cell>
          <cell r="C158">
            <v>33</v>
          </cell>
          <cell r="D158">
            <v>30</v>
          </cell>
          <cell r="E158">
            <v>20</v>
          </cell>
          <cell r="F158">
            <v>20</v>
          </cell>
          <cell r="G158">
            <v>20</v>
          </cell>
          <cell r="H158">
            <v>20</v>
          </cell>
          <cell r="I158">
            <v>20</v>
          </cell>
          <cell r="J158">
            <v>20</v>
          </cell>
          <cell r="K158">
            <v>20</v>
          </cell>
          <cell r="L158">
            <v>20</v>
          </cell>
          <cell r="M158">
            <v>20</v>
          </cell>
          <cell r="N158">
            <v>20</v>
          </cell>
          <cell r="O158">
            <v>20</v>
          </cell>
          <cell r="P158">
            <v>20</v>
          </cell>
          <cell r="Q158">
            <v>22</v>
          </cell>
          <cell r="S158">
            <v>20</v>
          </cell>
        </row>
        <row r="159">
          <cell r="A159" t="str">
            <v>Turkmenistan</v>
          </cell>
          <cell r="P159">
            <v>20</v>
          </cell>
          <cell r="Q159">
            <v>20</v>
          </cell>
          <cell r="S159" t="e">
            <v>#DIV/0!</v>
          </cell>
        </row>
        <row r="160">
          <cell r="A160" t="str">
            <v>Turks and Caicos Islands</v>
          </cell>
          <cell r="P160">
            <v>0</v>
          </cell>
          <cell r="Q160">
            <v>0</v>
          </cell>
          <cell r="S160" t="e">
            <v>#DIV/0!</v>
          </cell>
        </row>
        <row r="161">
          <cell r="A161" t="str">
            <v>Uganda</v>
          </cell>
          <cell r="B161">
            <v>30</v>
          </cell>
          <cell r="C161">
            <v>30</v>
          </cell>
          <cell r="D161">
            <v>30</v>
          </cell>
          <cell r="E161">
            <v>30</v>
          </cell>
          <cell r="F161">
            <v>30</v>
          </cell>
          <cell r="G161">
            <v>30</v>
          </cell>
          <cell r="H161">
            <v>30</v>
          </cell>
          <cell r="I161">
            <v>30</v>
          </cell>
          <cell r="J161">
            <v>30</v>
          </cell>
          <cell r="K161">
            <v>30</v>
          </cell>
          <cell r="L161">
            <v>30</v>
          </cell>
          <cell r="M161">
            <v>30</v>
          </cell>
          <cell r="N161">
            <v>30</v>
          </cell>
          <cell r="O161">
            <v>30</v>
          </cell>
          <cell r="P161">
            <v>30</v>
          </cell>
          <cell r="Q161">
            <v>30</v>
          </cell>
          <cell r="S161">
            <v>30</v>
          </cell>
        </row>
        <row r="162">
          <cell r="A162" t="str">
            <v>Ukraine</v>
          </cell>
          <cell r="B162">
            <v>30</v>
          </cell>
          <cell r="C162">
            <v>25</v>
          </cell>
          <cell r="D162">
            <v>25</v>
          </cell>
          <cell r="E162">
            <v>25</v>
          </cell>
          <cell r="F162">
            <v>25</v>
          </cell>
          <cell r="G162">
            <v>25</v>
          </cell>
          <cell r="H162">
            <v>25</v>
          </cell>
          <cell r="I162">
            <v>25</v>
          </cell>
          <cell r="J162">
            <v>25</v>
          </cell>
          <cell r="K162">
            <v>21</v>
          </cell>
          <cell r="L162">
            <v>19</v>
          </cell>
          <cell r="M162">
            <v>18</v>
          </cell>
          <cell r="N162">
            <v>18</v>
          </cell>
          <cell r="O162">
            <v>18</v>
          </cell>
          <cell r="P162">
            <v>18</v>
          </cell>
          <cell r="Q162">
            <v>18</v>
          </cell>
          <cell r="S162">
            <v>21</v>
          </cell>
        </row>
        <row r="163">
          <cell r="A163" t="str">
            <v>United Arab Emirates</v>
          </cell>
          <cell r="B163">
            <v>55</v>
          </cell>
          <cell r="C163">
            <v>55</v>
          </cell>
          <cell r="D163">
            <v>55</v>
          </cell>
          <cell r="E163">
            <v>55</v>
          </cell>
          <cell r="F163">
            <v>55</v>
          </cell>
          <cell r="G163">
            <v>55</v>
          </cell>
          <cell r="H163">
            <v>55</v>
          </cell>
          <cell r="I163">
            <v>55</v>
          </cell>
          <cell r="J163">
            <v>55</v>
          </cell>
          <cell r="K163">
            <v>55</v>
          </cell>
          <cell r="L163">
            <v>55</v>
          </cell>
          <cell r="M163">
            <v>55</v>
          </cell>
          <cell r="N163">
            <v>55</v>
          </cell>
          <cell r="O163">
            <v>55</v>
          </cell>
          <cell r="P163">
            <v>55</v>
          </cell>
          <cell r="Q163">
            <v>55</v>
          </cell>
          <cell r="S163">
            <v>55</v>
          </cell>
        </row>
        <row r="164">
          <cell r="A164" t="str">
            <v>United Kingdom</v>
          </cell>
          <cell r="B164">
            <v>30</v>
          </cell>
          <cell r="C164">
            <v>30</v>
          </cell>
          <cell r="D164">
            <v>30</v>
          </cell>
          <cell r="E164">
            <v>30</v>
          </cell>
          <cell r="F164">
            <v>30</v>
          </cell>
          <cell r="G164">
            <v>30</v>
          </cell>
          <cell r="H164">
            <v>28</v>
          </cell>
          <cell r="I164">
            <v>28</v>
          </cell>
          <cell r="J164">
            <v>26</v>
          </cell>
          <cell r="K164">
            <v>24</v>
          </cell>
          <cell r="L164">
            <v>23</v>
          </cell>
          <cell r="M164">
            <v>21</v>
          </cell>
          <cell r="N164">
            <v>20</v>
          </cell>
          <cell r="O164">
            <v>20</v>
          </cell>
          <cell r="P164">
            <v>19</v>
          </cell>
          <cell r="Q164">
            <v>19</v>
          </cell>
          <cell r="S164">
            <v>23.666666666666668</v>
          </cell>
        </row>
        <row r="165">
          <cell r="A165" t="str">
            <v>United States</v>
          </cell>
          <cell r="B165">
            <v>34</v>
          </cell>
          <cell r="C165">
            <v>34</v>
          </cell>
          <cell r="D165">
            <v>40</v>
          </cell>
          <cell r="E165">
            <v>40</v>
          </cell>
          <cell r="F165">
            <v>40</v>
          </cell>
          <cell r="G165">
            <v>40</v>
          </cell>
          <cell r="H165">
            <v>40</v>
          </cell>
          <cell r="I165">
            <v>40</v>
          </cell>
          <cell r="J165">
            <v>40</v>
          </cell>
          <cell r="K165">
            <v>40</v>
          </cell>
          <cell r="L165">
            <v>40</v>
          </cell>
          <cell r="M165">
            <v>40</v>
          </cell>
          <cell r="N165">
            <v>40</v>
          </cell>
          <cell r="O165">
            <v>40</v>
          </cell>
          <cell r="P165">
            <v>40</v>
          </cell>
          <cell r="Q165">
            <v>27</v>
          </cell>
          <cell r="S165">
            <v>40</v>
          </cell>
        </row>
        <row r="166">
          <cell r="A166" t="str">
            <v>Uruguay</v>
          </cell>
          <cell r="B166">
            <v>35</v>
          </cell>
          <cell r="C166">
            <v>30</v>
          </cell>
          <cell r="D166">
            <v>30</v>
          </cell>
          <cell r="E166">
            <v>30</v>
          </cell>
          <cell r="F166">
            <v>30</v>
          </cell>
          <cell r="G166">
            <v>25</v>
          </cell>
          <cell r="H166">
            <v>25</v>
          </cell>
          <cell r="I166">
            <v>25</v>
          </cell>
          <cell r="J166">
            <v>25</v>
          </cell>
          <cell r="K166">
            <v>25</v>
          </cell>
          <cell r="L166">
            <v>25</v>
          </cell>
          <cell r="M166">
            <v>25</v>
          </cell>
          <cell r="N166">
            <v>25</v>
          </cell>
          <cell r="O166">
            <v>25</v>
          </cell>
          <cell r="P166">
            <v>25</v>
          </cell>
          <cell r="Q166">
            <v>25</v>
          </cell>
          <cell r="S166">
            <v>25</v>
          </cell>
        </row>
        <row r="167">
          <cell r="A167" t="str">
            <v>Uzbekistan</v>
          </cell>
          <cell r="O167">
            <v>7.5</v>
          </cell>
          <cell r="P167">
            <v>7.5</v>
          </cell>
          <cell r="Q167">
            <v>7.5</v>
          </cell>
          <cell r="S167" t="e">
            <v>#DIV/0!</v>
          </cell>
        </row>
        <row r="168">
          <cell r="A168" t="str">
            <v>Vanuatu</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34</v>
          </cell>
          <cell r="Q168">
            <v>0</v>
          </cell>
          <cell r="S168">
            <v>0</v>
          </cell>
        </row>
        <row r="169">
          <cell r="A169" t="str">
            <v>Venezuela</v>
          </cell>
          <cell r="B169">
            <v>34</v>
          </cell>
          <cell r="C169">
            <v>34</v>
          </cell>
          <cell r="D169">
            <v>34</v>
          </cell>
          <cell r="E169">
            <v>34</v>
          </cell>
          <cell r="F169">
            <v>34</v>
          </cell>
          <cell r="G169">
            <v>34</v>
          </cell>
          <cell r="H169">
            <v>34</v>
          </cell>
          <cell r="I169">
            <v>34</v>
          </cell>
          <cell r="J169">
            <v>34</v>
          </cell>
          <cell r="K169">
            <v>34</v>
          </cell>
          <cell r="L169">
            <v>34</v>
          </cell>
          <cell r="M169">
            <v>34</v>
          </cell>
          <cell r="N169">
            <v>34</v>
          </cell>
          <cell r="O169">
            <v>34</v>
          </cell>
          <cell r="P169">
            <v>34</v>
          </cell>
          <cell r="Q169">
            <v>34</v>
          </cell>
          <cell r="S169">
            <v>34</v>
          </cell>
        </row>
        <row r="170">
          <cell r="A170" t="str">
            <v>Vietnam</v>
          </cell>
          <cell r="B170">
            <v>32</v>
          </cell>
          <cell r="C170">
            <v>28</v>
          </cell>
          <cell r="D170">
            <v>28</v>
          </cell>
          <cell r="E170">
            <v>28</v>
          </cell>
          <cell r="F170">
            <v>28</v>
          </cell>
          <cell r="G170">
            <v>28</v>
          </cell>
          <cell r="H170">
            <v>25</v>
          </cell>
          <cell r="I170">
            <v>25</v>
          </cell>
          <cell r="J170">
            <v>25</v>
          </cell>
          <cell r="K170">
            <v>25</v>
          </cell>
          <cell r="L170">
            <v>25</v>
          </cell>
          <cell r="M170">
            <v>22</v>
          </cell>
          <cell r="N170">
            <v>22</v>
          </cell>
          <cell r="O170">
            <v>22</v>
          </cell>
          <cell r="P170">
            <v>20</v>
          </cell>
          <cell r="Q170">
            <v>20</v>
          </cell>
          <cell r="S170">
            <v>24</v>
          </cell>
        </row>
        <row r="171">
          <cell r="A171" t="str">
            <v>Yemen</v>
          </cell>
          <cell r="B171">
            <v>35</v>
          </cell>
          <cell r="C171">
            <v>35</v>
          </cell>
          <cell r="D171">
            <v>35</v>
          </cell>
          <cell r="E171">
            <v>35</v>
          </cell>
          <cell r="F171">
            <v>35</v>
          </cell>
          <cell r="G171">
            <v>35</v>
          </cell>
          <cell r="H171">
            <v>35</v>
          </cell>
          <cell r="I171">
            <v>35</v>
          </cell>
          <cell r="J171">
            <v>20</v>
          </cell>
          <cell r="K171">
            <v>20</v>
          </cell>
          <cell r="L171">
            <v>20</v>
          </cell>
          <cell r="M171">
            <v>20</v>
          </cell>
          <cell r="N171">
            <v>20</v>
          </cell>
          <cell r="O171">
            <v>20</v>
          </cell>
          <cell r="P171">
            <v>20</v>
          </cell>
          <cell r="Q171">
            <v>20</v>
          </cell>
          <cell r="S171">
            <v>22.5</v>
          </cell>
        </row>
        <row r="172">
          <cell r="A172" t="str">
            <v>Zambia</v>
          </cell>
          <cell r="B172">
            <v>35</v>
          </cell>
          <cell r="C172">
            <v>35</v>
          </cell>
          <cell r="D172">
            <v>35</v>
          </cell>
          <cell r="E172">
            <v>35</v>
          </cell>
          <cell r="F172">
            <v>35</v>
          </cell>
          <cell r="G172">
            <v>35</v>
          </cell>
          <cell r="H172">
            <v>35</v>
          </cell>
          <cell r="I172">
            <v>35</v>
          </cell>
          <cell r="J172">
            <v>35</v>
          </cell>
          <cell r="K172">
            <v>35</v>
          </cell>
          <cell r="L172">
            <v>35</v>
          </cell>
          <cell r="M172">
            <v>35</v>
          </cell>
          <cell r="N172">
            <v>35</v>
          </cell>
          <cell r="O172">
            <v>35</v>
          </cell>
          <cell r="P172">
            <v>35</v>
          </cell>
          <cell r="Q172">
            <v>35</v>
          </cell>
          <cell r="S172">
            <v>35</v>
          </cell>
        </row>
        <row r="173">
          <cell r="A173" t="str">
            <v>Zimbabwe</v>
          </cell>
          <cell r="B173">
            <v>30.9</v>
          </cell>
          <cell r="C173">
            <v>30.9</v>
          </cell>
          <cell r="D173">
            <v>30.9</v>
          </cell>
          <cell r="E173">
            <v>30.9</v>
          </cell>
          <cell r="F173">
            <v>30.9</v>
          </cell>
          <cell r="G173">
            <v>30.9</v>
          </cell>
          <cell r="H173">
            <v>30.9</v>
          </cell>
          <cell r="I173">
            <v>25.75</v>
          </cell>
          <cell r="J173">
            <v>25.75</v>
          </cell>
          <cell r="K173">
            <v>25.75</v>
          </cell>
          <cell r="L173">
            <v>25.75</v>
          </cell>
          <cell r="M173">
            <v>25.75</v>
          </cell>
          <cell r="N173">
            <v>25.75</v>
          </cell>
          <cell r="O173">
            <v>25.75</v>
          </cell>
          <cell r="P173">
            <v>25</v>
          </cell>
          <cell r="Q173">
            <v>25</v>
          </cell>
          <cell r="S173">
            <v>25.75</v>
          </cell>
        </row>
        <row r="174">
          <cell r="A174" t="str">
            <v>Africa average</v>
          </cell>
          <cell r="B174">
            <v>32.36</v>
          </cell>
          <cell r="C174">
            <v>32.36</v>
          </cell>
          <cell r="D174">
            <v>30.79</v>
          </cell>
          <cell r="E174">
            <v>30.73</v>
          </cell>
          <cell r="F174">
            <v>30.52</v>
          </cell>
          <cell r="G174">
            <v>28.75</v>
          </cell>
          <cell r="H174">
            <v>28.83</v>
          </cell>
          <cell r="I174">
            <v>28.49</v>
          </cell>
          <cell r="J174">
            <v>28.64</v>
          </cell>
          <cell r="K174">
            <v>29.07</v>
          </cell>
          <cell r="L174">
            <v>28.37</v>
          </cell>
          <cell r="M174">
            <v>27.85</v>
          </cell>
          <cell r="N174">
            <v>28.17</v>
          </cell>
          <cell r="O174">
            <v>28.06</v>
          </cell>
          <cell r="P174">
            <v>28.21</v>
          </cell>
          <cell r="Q174">
            <v>28.23</v>
          </cell>
          <cell r="S174">
            <v>28.431666666666661</v>
          </cell>
        </row>
        <row r="175">
          <cell r="A175" t="str">
            <v>Americas average</v>
          </cell>
          <cell r="B175">
            <v>31.29</v>
          </cell>
          <cell r="C175">
            <v>30.55</v>
          </cell>
          <cell r="D175">
            <v>30.52</v>
          </cell>
          <cell r="E175">
            <v>29.97</v>
          </cell>
          <cell r="F175">
            <v>29.27</v>
          </cell>
          <cell r="G175">
            <v>28.84</v>
          </cell>
          <cell r="H175">
            <v>28.82</v>
          </cell>
          <cell r="I175">
            <v>28.28</v>
          </cell>
          <cell r="J175">
            <v>29.31</v>
          </cell>
          <cell r="K175">
            <v>28.67</v>
          </cell>
          <cell r="L175">
            <v>28.35</v>
          </cell>
          <cell r="M175">
            <v>27.77</v>
          </cell>
          <cell r="N175">
            <v>27.61</v>
          </cell>
          <cell r="O175">
            <v>27.81</v>
          </cell>
          <cell r="P175">
            <v>28.29</v>
          </cell>
          <cell r="Q175">
            <v>27.36</v>
          </cell>
          <cell r="S175">
            <v>28.331666666666667</v>
          </cell>
        </row>
        <row r="176">
          <cell r="A176" t="str">
            <v>Asia average</v>
          </cell>
          <cell r="B176">
            <v>30.19</v>
          </cell>
          <cell r="C176">
            <v>30.35</v>
          </cell>
          <cell r="D176">
            <v>29.79</v>
          </cell>
          <cell r="E176">
            <v>28.99</v>
          </cell>
          <cell r="F176">
            <v>28.34</v>
          </cell>
          <cell r="G176">
            <v>26.24</v>
          </cell>
          <cell r="H176">
            <v>25.37</v>
          </cell>
          <cell r="I176">
            <v>23.72</v>
          </cell>
          <cell r="J176">
            <v>22.91</v>
          </cell>
          <cell r="K176">
            <v>22.72</v>
          </cell>
          <cell r="L176">
            <v>22.13</v>
          </cell>
          <cell r="M176">
            <v>22</v>
          </cell>
          <cell r="N176">
            <v>21.98</v>
          </cell>
          <cell r="O176">
            <v>21.41</v>
          </cell>
          <cell r="P176">
            <v>21.04</v>
          </cell>
          <cell r="Q176">
            <v>21.18</v>
          </cell>
          <cell r="S176">
            <v>22.576666666666664</v>
          </cell>
        </row>
        <row r="177">
          <cell r="A177" t="str">
            <v>EU average</v>
          </cell>
          <cell r="B177">
            <v>27.95</v>
          </cell>
          <cell r="C177">
            <v>26.69</v>
          </cell>
          <cell r="D177">
            <v>25.15</v>
          </cell>
          <cell r="E177">
            <v>24.83</v>
          </cell>
          <cell r="F177">
            <v>23.97</v>
          </cell>
          <cell r="G177">
            <v>23.17</v>
          </cell>
          <cell r="H177">
            <v>23.11</v>
          </cell>
          <cell r="I177">
            <v>22.93</v>
          </cell>
          <cell r="J177">
            <v>22.7</v>
          </cell>
          <cell r="K177">
            <v>22.51</v>
          </cell>
          <cell r="L177">
            <v>22.75</v>
          </cell>
          <cell r="M177">
            <v>22.39</v>
          </cell>
          <cell r="N177">
            <v>22.15</v>
          </cell>
          <cell r="O177">
            <v>22.09</v>
          </cell>
          <cell r="P177">
            <v>21.33</v>
          </cell>
          <cell r="Q177">
            <v>20.98</v>
          </cell>
          <cell r="S177">
            <v>22.571666666666669</v>
          </cell>
        </row>
        <row r="178">
          <cell r="A178" t="str">
            <v>Europe average</v>
          </cell>
          <cell r="B178">
            <v>26.72</v>
          </cell>
          <cell r="C178">
            <v>25.6</v>
          </cell>
          <cell r="D178">
            <v>24.03</v>
          </cell>
          <cell r="E178">
            <v>23.7</v>
          </cell>
          <cell r="F178">
            <v>22.99</v>
          </cell>
          <cell r="G178">
            <v>21.95</v>
          </cell>
          <cell r="H178">
            <v>21.64</v>
          </cell>
          <cell r="I178">
            <v>21.46</v>
          </cell>
          <cell r="J178">
            <v>20.83</v>
          </cell>
          <cell r="K178">
            <v>20.440000000000001</v>
          </cell>
          <cell r="L178">
            <v>20.6</v>
          </cell>
          <cell r="M178">
            <v>20.420000000000002</v>
          </cell>
          <cell r="N178">
            <v>20.05</v>
          </cell>
          <cell r="O178">
            <v>19.97</v>
          </cell>
          <cell r="P178">
            <v>19.53</v>
          </cell>
          <cell r="Q178">
            <v>19.260000000000002</v>
          </cell>
          <cell r="S178">
            <v>20.633333333333336</v>
          </cell>
        </row>
        <row r="179">
          <cell r="A179" t="str">
            <v>Global average</v>
          </cell>
          <cell r="B179">
            <v>29.42</v>
          </cell>
          <cell r="C179">
            <v>28.95</v>
          </cell>
          <cell r="D179">
            <v>28</v>
          </cell>
          <cell r="E179">
            <v>27.55</v>
          </cell>
          <cell r="F179">
            <v>26.96</v>
          </cell>
          <cell r="G179">
            <v>25.66</v>
          </cell>
          <cell r="H179">
            <v>25.32</v>
          </cell>
          <cell r="I179">
            <v>24.65</v>
          </cell>
          <cell r="J179">
            <v>24.52</v>
          </cell>
          <cell r="K179">
            <v>24.38</v>
          </cell>
          <cell r="L179">
            <v>24.15</v>
          </cell>
          <cell r="M179">
            <v>23.85</v>
          </cell>
          <cell r="N179">
            <v>23.74</v>
          </cell>
          <cell r="O179">
            <v>23.58</v>
          </cell>
          <cell r="P179">
            <v>24.04</v>
          </cell>
          <cell r="Q179">
            <v>23.81</v>
          </cell>
          <cell r="S179">
            <v>24.215</v>
          </cell>
        </row>
        <row r="180">
          <cell r="A180" t="str">
            <v>Latin America average</v>
          </cell>
          <cell r="B180">
            <v>30.81</v>
          </cell>
          <cell r="C180">
            <v>30.02</v>
          </cell>
          <cell r="D180">
            <v>29.68</v>
          </cell>
          <cell r="E180">
            <v>29.07</v>
          </cell>
          <cell r="F180">
            <v>28.3</v>
          </cell>
          <cell r="G180">
            <v>27.96</v>
          </cell>
          <cell r="H180">
            <v>27.96</v>
          </cell>
          <cell r="I180">
            <v>27.52</v>
          </cell>
          <cell r="J180">
            <v>28.88</v>
          </cell>
          <cell r="K180">
            <v>28.3</v>
          </cell>
          <cell r="L180">
            <v>27.96</v>
          </cell>
          <cell r="M180">
            <v>27.31</v>
          </cell>
          <cell r="N180">
            <v>27.16</v>
          </cell>
          <cell r="O180">
            <v>27.38</v>
          </cell>
          <cell r="P180">
            <v>27.98</v>
          </cell>
          <cell r="Q180">
            <v>27.39</v>
          </cell>
          <cell r="S180">
            <v>27.855</v>
          </cell>
        </row>
        <row r="181">
          <cell r="A181" t="str">
            <v>North America average</v>
          </cell>
          <cell r="B181">
            <v>35.299999999999997</v>
          </cell>
          <cell r="C181">
            <v>35.049999999999997</v>
          </cell>
          <cell r="D181">
            <v>38.049999999999997</v>
          </cell>
          <cell r="E181">
            <v>38.049999999999997</v>
          </cell>
          <cell r="F181">
            <v>38.049999999999997</v>
          </cell>
          <cell r="G181">
            <v>36.75</v>
          </cell>
          <cell r="H181">
            <v>36.5</v>
          </cell>
          <cell r="I181">
            <v>35.5</v>
          </cell>
          <cell r="J181">
            <v>34</v>
          </cell>
          <cell r="K181">
            <v>33</v>
          </cell>
          <cell r="L181">
            <v>33</v>
          </cell>
          <cell r="M181">
            <v>33.25</v>
          </cell>
          <cell r="N181">
            <v>33.25</v>
          </cell>
          <cell r="O181">
            <v>33.25</v>
          </cell>
          <cell r="P181">
            <v>33.25</v>
          </cell>
          <cell r="Q181">
            <v>26.75</v>
          </cell>
          <cell r="S181">
            <v>33.666666666666664</v>
          </cell>
        </row>
        <row r="182">
          <cell r="A182" t="str">
            <v>Oceania average</v>
          </cell>
          <cell r="B182">
            <v>30.2</v>
          </cell>
          <cell r="C182">
            <v>30.6</v>
          </cell>
          <cell r="D182">
            <v>30.6</v>
          </cell>
          <cell r="E182">
            <v>30.6</v>
          </cell>
          <cell r="F182">
            <v>30.2</v>
          </cell>
          <cell r="G182">
            <v>29.6</v>
          </cell>
          <cell r="H182">
            <v>29.2</v>
          </cell>
          <cell r="I182">
            <v>29</v>
          </cell>
          <cell r="J182">
            <v>28.6</v>
          </cell>
          <cell r="K182">
            <v>28.6</v>
          </cell>
          <cell r="L182">
            <v>27</v>
          </cell>
          <cell r="M182">
            <v>27</v>
          </cell>
          <cell r="N182">
            <v>27</v>
          </cell>
          <cell r="O182">
            <v>27</v>
          </cell>
          <cell r="P182">
            <v>28.43</v>
          </cell>
          <cell r="Q182">
            <v>28.43</v>
          </cell>
          <cell r="S182">
            <v>27.866666666666664</v>
          </cell>
        </row>
        <row r="183">
          <cell r="A183" t="str">
            <v>OECD average</v>
          </cell>
          <cell r="B183">
            <v>30.08</v>
          </cell>
          <cell r="C183">
            <v>29.28</v>
          </cell>
          <cell r="D183">
            <v>28.37</v>
          </cell>
          <cell r="E183">
            <v>27.67</v>
          </cell>
          <cell r="F183">
            <v>27</v>
          </cell>
          <cell r="G183">
            <v>25.99</v>
          </cell>
          <cell r="H183">
            <v>25.64</v>
          </cell>
          <cell r="I183">
            <v>25.7</v>
          </cell>
          <cell r="J183">
            <v>25.42</v>
          </cell>
          <cell r="K183">
            <v>25.18</v>
          </cell>
          <cell r="L183">
            <v>25.32</v>
          </cell>
          <cell r="M183">
            <v>24.98</v>
          </cell>
          <cell r="N183">
            <v>24.77</v>
          </cell>
          <cell r="O183">
            <v>24.69</v>
          </cell>
          <cell r="P183">
            <v>23.95</v>
          </cell>
          <cell r="Q183">
            <v>23.23</v>
          </cell>
          <cell r="S183">
            <v>25.228333333333335</v>
          </cell>
        </row>
        <row r="184">
          <cell r="A184" t="str">
            <v>South America average</v>
          </cell>
          <cell r="B184">
            <v>30.81</v>
          </cell>
          <cell r="C184">
            <v>30.02</v>
          </cell>
          <cell r="D184">
            <v>29.68</v>
          </cell>
          <cell r="E184">
            <v>29.07</v>
          </cell>
          <cell r="F184">
            <v>28.3</v>
          </cell>
          <cell r="G184">
            <v>27.96</v>
          </cell>
          <cell r="H184">
            <v>27.96</v>
          </cell>
          <cell r="I184">
            <v>27.52</v>
          </cell>
          <cell r="J184">
            <v>28.88</v>
          </cell>
          <cell r="K184">
            <v>28.3</v>
          </cell>
          <cell r="L184">
            <v>27.96</v>
          </cell>
          <cell r="M184">
            <v>27.31</v>
          </cell>
          <cell r="N184">
            <v>27.16</v>
          </cell>
          <cell r="O184">
            <v>27.38</v>
          </cell>
          <cell r="P184">
            <v>27.98</v>
          </cell>
          <cell r="Q184">
            <v>27.39</v>
          </cell>
          <cell r="S184">
            <v>27.855</v>
          </cell>
        </row>
        <row r="185">
          <cell r="A185" t="str">
            <v>Asia + Oceania</v>
          </cell>
          <cell r="Q185">
            <v>27.39</v>
          </cell>
        </row>
        <row r="186">
          <cell r="A186" t="str">
            <v>USA federal</v>
          </cell>
          <cell r="B186">
            <v>0.35</v>
          </cell>
          <cell r="C186">
            <v>0.35</v>
          </cell>
          <cell r="D186">
            <v>0.35</v>
          </cell>
          <cell r="E186">
            <v>0.35</v>
          </cell>
          <cell r="F186">
            <v>0.35</v>
          </cell>
          <cell r="G186">
            <v>0.35</v>
          </cell>
          <cell r="H186">
            <v>0.35</v>
          </cell>
          <cell r="I186">
            <v>0.35</v>
          </cell>
          <cell r="J186">
            <v>0.35</v>
          </cell>
          <cell r="K186">
            <v>0.35</v>
          </cell>
          <cell r="L186">
            <v>0.35</v>
          </cell>
          <cell r="M186">
            <v>0.35</v>
          </cell>
          <cell r="N186">
            <v>0.35</v>
          </cell>
          <cell r="O186">
            <v>0.35</v>
          </cell>
        </row>
        <row r="187">
          <cell r="A187" t="str">
            <v>USA State</v>
          </cell>
          <cell r="B187">
            <v>6.65</v>
          </cell>
          <cell r="C187">
            <v>6.64</v>
          </cell>
          <cell r="D187">
            <v>6.6</v>
          </cell>
          <cell r="E187">
            <v>6.62</v>
          </cell>
          <cell r="F187">
            <v>6.57</v>
          </cell>
          <cell r="G187">
            <v>6.54</v>
          </cell>
          <cell r="H187">
            <v>6.4</v>
          </cell>
          <cell r="I187">
            <v>6.47</v>
          </cell>
          <cell r="J187">
            <v>6.45</v>
          </cell>
          <cell r="K187">
            <v>6.34</v>
          </cell>
          <cell r="L187">
            <v>6.23</v>
          </cell>
          <cell r="M187">
            <v>6.27</v>
          </cell>
          <cell r="N187">
            <v>6.15</v>
          </cell>
          <cell r="O187">
            <v>6.0368219999999999</v>
          </cell>
        </row>
        <row r="188">
          <cell r="A188" t="str">
            <v>USA combined</v>
          </cell>
          <cell r="B188">
            <v>39.322499999999998</v>
          </cell>
          <cell r="C188">
            <v>39.316000000000003</v>
          </cell>
          <cell r="D188">
            <v>39.29</v>
          </cell>
          <cell r="E188">
            <v>39.302999999999997</v>
          </cell>
          <cell r="F188">
            <v>39.270499999999998</v>
          </cell>
          <cell r="G188">
            <v>39.250999999999998</v>
          </cell>
          <cell r="H188">
            <v>39.159999999999997</v>
          </cell>
          <cell r="I188">
            <v>39.205500000000001</v>
          </cell>
          <cell r="J188">
            <v>39.192500000000003</v>
          </cell>
          <cell r="K188">
            <v>39.134</v>
          </cell>
          <cell r="L188">
            <v>39.049500000000002</v>
          </cell>
          <cell r="M188">
            <v>39.075499999999998</v>
          </cell>
          <cell r="N188">
            <v>38.997500000000002</v>
          </cell>
          <cell r="O188">
            <v>38.923934000000003</v>
          </cell>
          <cell r="P188">
            <v>38.923934000000003</v>
          </cell>
          <cell r="Q188">
            <v>23.923934000000003</v>
          </cell>
        </row>
        <row r="189">
          <cell r="A189" t="str">
            <v>United states (OECD)</v>
          </cell>
          <cell r="B189">
            <v>39.322499999999998</v>
          </cell>
          <cell r="C189">
            <v>39.316000000000003</v>
          </cell>
          <cell r="D189">
            <v>39.29</v>
          </cell>
          <cell r="E189">
            <v>39.302999999999997</v>
          </cell>
          <cell r="F189">
            <v>39.270499999999998</v>
          </cell>
          <cell r="G189">
            <v>39.250999999999998</v>
          </cell>
          <cell r="H189">
            <v>39.159999999999997</v>
          </cell>
          <cell r="I189">
            <v>39.205500000000001</v>
          </cell>
          <cell r="J189">
            <v>39.192500000000003</v>
          </cell>
          <cell r="K189">
            <v>39.134</v>
          </cell>
          <cell r="L189">
            <v>39.049500000000002</v>
          </cell>
          <cell r="M189">
            <v>39.075499999999998</v>
          </cell>
          <cell r="N189">
            <v>38.997500000000002</v>
          </cell>
          <cell r="O189">
            <v>38.923934000000003</v>
          </cell>
          <cell r="P189">
            <v>38.923934000000003</v>
          </cell>
          <cell r="Q189">
            <v>23.923934000000003</v>
          </cell>
          <cell r="S189">
            <v>39.109083333333338</v>
          </cell>
        </row>
      </sheetData>
      <sheetData sheetId="55">
        <row r="6">
          <cell r="O6">
            <v>1.9724959247258356E-2</v>
          </cell>
        </row>
        <row r="7">
          <cell r="O7">
            <v>7.5183978411835217E-3</v>
          </cell>
        </row>
        <row r="8">
          <cell r="O8">
            <v>1.6851091979899344E-2</v>
          </cell>
        </row>
        <row r="9">
          <cell r="O9">
            <v>1.8625065059146493E-2</v>
          </cell>
        </row>
        <row r="10">
          <cell r="O10">
            <v>7.0642788861976962E-3</v>
          </cell>
        </row>
        <row r="11">
          <cell r="O11">
            <v>4.2168628042858767E-3</v>
          </cell>
        </row>
        <row r="12">
          <cell r="O12">
            <v>4.270260946196207E-3</v>
          </cell>
        </row>
        <row r="13">
          <cell r="O13">
            <v>6.773202753420001E-4</v>
          </cell>
        </row>
        <row r="14">
          <cell r="O14">
            <v>2.5371919195899964E-3</v>
          </cell>
        </row>
        <row r="15">
          <cell r="O15">
            <v>2.3101070838444246E-2</v>
          </cell>
        </row>
        <row r="16">
          <cell r="O16">
            <v>2.7155362460586724E-2</v>
          </cell>
        </row>
        <row r="17">
          <cell r="O17">
            <v>9.4183324614684747E-4</v>
          </cell>
        </row>
        <row r="18">
          <cell r="O18">
            <v>7.0490294335267892E-3</v>
          </cell>
        </row>
        <row r="19">
          <cell r="O19">
            <v>2.9676185886762328E-4</v>
          </cell>
        </row>
        <row r="20">
          <cell r="O20">
            <v>2.9830831694854485E-2</v>
          </cell>
        </row>
        <row r="21">
          <cell r="O21">
            <v>3.5854095802659949E-3</v>
          </cell>
        </row>
        <row r="22">
          <cell r="O22">
            <v>1.1975697569500557E-2</v>
          </cell>
        </row>
        <row r="23">
          <cell r="O23">
            <v>5.7079926876463898E-3</v>
          </cell>
        </row>
        <row r="24">
          <cell r="O24">
            <v>5.9764385037810045E-3</v>
          </cell>
        </row>
        <row r="25">
          <cell r="O25">
            <v>4.9674600230274215E-4</v>
          </cell>
        </row>
        <row r="26">
          <cell r="O26">
            <v>0.11891862183622122</v>
          </cell>
        </row>
        <row r="27">
          <cell r="O27">
            <v>1.3983804982289147E-2</v>
          </cell>
        </row>
        <row r="28">
          <cell r="O28">
            <v>0.13981874897109201</v>
          </cell>
        </row>
        <row r="29">
          <cell r="O29">
            <v>2.1229104608768879E-3</v>
          </cell>
        </row>
        <row r="30">
          <cell r="O30">
            <v>4.1879311933842762E-3</v>
          </cell>
        </row>
        <row r="31">
          <cell r="O31">
            <v>6.8099108675849793E-3</v>
          </cell>
        </row>
        <row r="32">
          <cell r="O32">
            <v>4.6623666764422506E-3</v>
          </cell>
        </row>
        <row r="33">
          <cell r="O33">
            <v>1.6779028100662903E-3</v>
          </cell>
        </row>
        <row r="34">
          <cell r="O34">
            <v>4.7078495384529563E-4</v>
          </cell>
        </row>
        <row r="35">
          <cell r="O35">
            <v>2.0109826911602034E-2</v>
          </cell>
        </row>
        <row r="36">
          <cell r="O36">
            <v>1.0367762926519983E-2</v>
          </cell>
        </row>
        <row r="37">
          <cell r="O37">
            <v>4.0242172386703134E-2</v>
          </cell>
        </row>
        <row r="38">
          <cell r="O38">
            <v>3.2883376727278189E-3</v>
          </cell>
        </row>
        <row r="39">
          <cell r="O39">
            <v>4.5338525604610186E-2</v>
          </cell>
        </row>
        <row r="40">
          <cell r="O40">
            <v>0.1067732899403558</v>
          </cell>
        </row>
        <row r="42">
          <cell r="O42">
            <v>1.7907849562756685E-2</v>
          </cell>
        </row>
        <row r="43">
          <cell r="O43">
            <v>7.58036095071591E-2</v>
          </cell>
        </row>
        <row r="45">
          <cell r="O45">
            <v>1.0359872531760833E-3</v>
          </cell>
        </row>
        <row r="46">
          <cell r="O46">
            <v>1.2935619100279711E-2</v>
          </cell>
        </row>
        <row r="47">
          <cell r="O47">
            <v>1.2437836307075061E-2</v>
          </cell>
        </row>
        <row r="48">
          <cell r="O48">
            <v>4.4085091495239077E-3</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1.2679959886447819E-2</v>
          </cell>
        </row>
        <row r="64">
          <cell r="O64">
            <v>0</v>
          </cell>
        </row>
        <row r="65">
          <cell r="O65">
            <v>0</v>
          </cell>
        </row>
        <row r="66">
          <cell r="O66">
            <v>0</v>
          </cell>
        </row>
        <row r="67">
          <cell r="O67">
            <v>0</v>
          </cell>
        </row>
        <row r="68">
          <cell r="O68">
            <v>0</v>
          </cell>
        </row>
        <row r="69">
          <cell r="O69">
            <v>0</v>
          </cell>
        </row>
        <row r="70">
          <cell r="O70">
            <v>6.1404860170618039E-5</v>
          </cell>
        </row>
        <row r="71">
          <cell r="O71">
            <v>0</v>
          </cell>
        </row>
        <row r="72">
          <cell r="O72">
            <v>0</v>
          </cell>
        </row>
        <row r="73">
          <cell r="O73">
            <v>5.7392741433931783E-3</v>
          </cell>
        </row>
        <row r="74">
          <cell r="O74">
            <v>0</v>
          </cell>
        </row>
        <row r="75">
          <cell r="O75">
            <v>0</v>
          </cell>
        </row>
        <row r="76">
          <cell r="O76">
            <v>0</v>
          </cell>
        </row>
        <row r="77">
          <cell r="O77">
            <v>9.3447437214016892E-3</v>
          </cell>
        </row>
        <row r="78">
          <cell r="O78">
            <v>2.3627280581392267E-5</v>
          </cell>
        </row>
        <row r="79">
          <cell r="O79">
            <v>3.3093466817703553E-2</v>
          </cell>
        </row>
        <row r="80">
          <cell r="O80">
            <v>0</v>
          </cell>
        </row>
        <row r="81">
          <cell r="O81">
            <v>0</v>
          </cell>
        </row>
        <row r="82">
          <cell r="O82">
            <v>0</v>
          </cell>
        </row>
        <row r="83">
          <cell r="O83">
            <v>0</v>
          </cell>
        </row>
        <row r="84">
          <cell r="O84">
            <v>1.3851704795761202E-3</v>
          </cell>
        </row>
        <row r="85">
          <cell r="O85">
            <v>0</v>
          </cell>
        </row>
        <row r="88">
          <cell r="O88">
            <v>2.2661938775837801E-3</v>
          </cell>
        </row>
        <row r="89">
          <cell r="O89">
            <v>2.8851092306469567E-3</v>
          </cell>
        </row>
        <row r="90">
          <cell r="O90">
            <v>6.5271108910588127E-3</v>
          </cell>
        </row>
        <row r="91">
          <cell r="O91">
            <v>4.1335634635362092E-3</v>
          </cell>
        </row>
        <row r="93">
          <cell r="O93">
            <v>2.5072471180439433E-3</v>
          </cell>
        </row>
        <row r="94">
          <cell r="O94">
            <v>6.2908779707371073E-3</v>
          </cell>
        </row>
        <row r="96">
          <cell r="O96">
            <v>8.5751378419618787E-4</v>
          </cell>
        </row>
        <row r="97">
          <cell r="O97">
            <v>6.0485676103200138E-4</v>
          </cell>
        </row>
        <row r="110">
          <cell r="O110">
            <v>9.6767440901410859E-2</v>
          </cell>
        </row>
      </sheetData>
      <sheetData sheetId="56" refreshError="1"/>
      <sheetData sheetId="57">
        <row r="9">
          <cell r="H9">
            <v>961.13680467146003</v>
          </cell>
        </row>
        <row r="10">
          <cell r="H10">
            <v>27.574652851647539</v>
          </cell>
        </row>
        <row r="11">
          <cell r="H11">
            <v>11.042834269901006</v>
          </cell>
        </row>
        <row r="12">
          <cell r="H12">
            <v>31.734274950460215</v>
          </cell>
        </row>
        <row r="13">
          <cell r="H13">
            <v>47.389812954937987</v>
          </cell>
        </row>
        <row r="14">
          <cell r="H14">
            <v>9.3318140071384832</v>
          </cell>
        </row>
        <row r="15">
          <cell r="H15">
            <v>17.740022010561844</v>
          </cell>
        </row>
        <row r="16">
          <cell r="H16">
            <v>4.9764022789042865</v>
          </cell>
        </row>
        <row r="17">
          <cell r="H17">
            <v>1.4815754945319268</v>
          </cell>
        </row>
        <row r="18">
          <cell r="H18">
            <v>4.1356028388637114</v>
          </cell>
        </row>
        <row r="19">
          <cell r="H19">
            <v>31.071736366760344</v>
          </cell>
        </row>
        <row r="20">
          <cell r="H20">
            <v>41.877627433327014</v>
          </cell>
        </row>
        <row r="21">
          <cell r="H21">
            <v>1.2992649784537851</v>
          </cell>
        </row>
        <row r="22">
          <cell r="H22">
            <v>9.894347733402606</v>
          </cell>
        </row>
        <row r="23">
          <cell r="D23">
            <v>4.8524572246475834</v>
          </cell>
          <cell r="F23">
            <v>2.0337032902496257</v>
          </cell>
          <cell r="H23">
            <v>-9.1026414619224116E-2</v>
          </cell>
          <cell r="I23">
            <v>1.3395577674463344</v>
          </cell>
        </row>
        <row r="24">
          <cell r="H24">
            <v>120.52523759310969</v>
          </cell>
        </row>
        <row r="25">
          <cell r="H25">
            <v>6.2063642979408078</v>
          </cell>
        </row>
        <row r="26">
          <cell r="H26">
            <v>12.689110079764271</v>
          </cell>
        </row>
        <row r="27">
          <cell r="H27">
            <v>32.636260968356716</v>
          </cell>
        </row>
        <row r="28">
          <cell r="H28">
            <v>2.4357773530562139</v>
          </cell>
        </row>
        <row r="29">
          <cell r="H29">
            <v>1.2199521267420033</v>
          </cell>
        </row>
        <row r="30">
          <cell r="H30">
            <v>50.520894346780572</v>
          </cell>
        </row>
        <row r="31">
          <cell r="H31">
            <v>24.362528935516938</v>
          </cell>
        </row>
        <row r="32">
          <cell r="H32">
            <v>88.957851102033686</v>
          </cell>
        </row>
        <row r="33">
          <cell r="H33">
            <v>6.2797445936523637</v>
          </cell>
        </row>
        <row r="34">
          <cell r="H34">
            <v>6.4022213898385392</v>
          </cell>
        </row>
        <row r="35">
          <cell r="H35">
            <v>19.70986225687292</v>
          </cell>
        </row>
        <row r="36">
          <cell r="H36">
            <v>4.7755111664177301</v>
          </cell>
        </row>
        <row r="37">
          <cell r="H37">
            <v>5.4768636420223462</v>
          </cell>
          <cell r="I37">
            <v>9.5708476820184547</v>
          </cell>
        </row>
        <row r="38">
          <cell r="H38">
            <v>1.2526118661927697</v>
          </cell>
        </row>
        <row r="39">
          <cell r="H39">
            <v>20.434157246376603</v>
          </cell>
        </row>
        <row r="40">
          <cell r="H40">
            <v>23.523345517000031</v>
          </cell>
        </row>
        <row r="41">
          <cell r="H41">
            <v>60.003720798310084</v>
          </cell>
        </row>
        <row r="42">
          <cell r="H42">
            <v>3.5271379064433468</v>
          </cell>
        </row>
        <row r="43">
          <cell r="H43">
            <v>71.644877730760982</v>
          </cell>
        </row>
        <row r="44">
          <cell r="H44">
            <v>159.09383199999999</v>
          </cell>
        </row>
        <row r="45">
          <cell r="H45">
            <v>261.25214546673504</v>
          </cell>
        </row>
        <row r="46">
          <cell r="H46">
            <v>28.96742315877243</v>
          </cell>
        </row>
        <row r="47">
          <cell r="H47">
            <v>166.79099177557936</v>
          </cell>
        </row>
        <row r="48">
          <cell r="C48">
            <v>16.464157666366908</v>
          </cell>
          <cell r="H48">
            <v>6.5339228034116923</v>
          </cell>
        </row>
        <row r="49">
          <cell r="H49">
            <v>1.1344068110689234</v>
          </cell>
        </row>
        <row r="50">
          <cell r="H50">
            <v>8.1009830122269388</v>
          </cell>
        </row>
        <row r="51">
          <cell r="H51">
            <v>37.834898978865937</v>
          </cell>
        </row>
        <row r="52">
          <cell r="H52">
            <v>8.3780685496994849</v>
          </cell>
        </row>
        <row r="53">
          <cell r="H53">
            <v>391.55469190240916</v>
          </cell>
        </row>
        <row r="54">
          <cell r="D54">
            <v>0.49909599570000002</v>
          </cell>
          <cell r="F54">
            <v>1.1940000874105692</v>
          </cell>
          <cell r="H54">
            <v>1.0502714941748517</v>
          </cell>
        </row>
        <row r="55">
          <cell r="D55">
            <v>4.9691789387520002E-2</v>
          </cell>
          <cell r="F55">
            <v>0.11887907316591387</v>
          </cell>
          <cell r="H55">
            <v>0.2331814219514691</v>
          </cell>
        </row>
        <row r="56">
          <cell r="D56">
            <v>9.9006796319999993E-2</v>
          </cell>
          <cell r="F56">
            <v>0.7819971832491911</v>
          </cell>
          <cell r="H56">
            <v>0.85089221635477152</v>
          </cell>
        </row>
        <row r="57">
          <cell r="D57">
            <v>0.46794344267000004</v>
          </cell>
          <cell r="F57">
            <v>1.1194686492523167</v>
          </cell>
          <cell r="H57">
            <v>0.98471130135072216</v>
          </cell>
        </row>
        <row r="58">
          <cell r="D58">
            <v>0.50913620445999996</v>
          </cell>
          <cell r="F58">
            <v>6.6319444428918937</v>
          </cell>
          <cell r="H58">
            <v>7.6800916646169197</v>
          </cell>
        </row>
        <row r="59">
          <cell r="D59">
            <v>10.440183670202362</v>
          </cell>
          <cell r="F59">
            <v>12.409543120663082</v>
          </cell>
          <cell r="H59">
            <v>10.21433759617338</v>
          </cell>
        </row>
        <row r="60">
          <cell r="D60">
            <v>0.35893383046999994</v>
          </cell>
          <cell r="F60">
            <v>2.5713283084109984</v>
          </cell>
          <cell r="H60">
            <v>4.8839663303403089</v>
          </cell>
        </row>
        <row r="61">
          <cell r="D61">
            <v>0.13799589551999999</v>
          </cell>
          <cell r="F61">
            <v>0.96520076278711253</v>
          </cell>
          <cell r="H61">
            <v>0.95201508253745526</v>
          </cell>
        </row>
        <row r="62">
          <cell r="D62">
            <v>3.1835621171000001</v>
          </cell>
          <cell r="F62">
            <v>1.8195731651908549</v>
          </cell>
          <cell r="H62">
            <v>25.216449846219426</v>
          </cell>
        </row>
        <row r="63">
          <cell r="D63">
            <v>7.4738745423999997E-2</v>
          </cell>
          <cell r="F63">
            <v>0.17879876331601927</v>
          </cell>
          <cell r="H63">
            <v>0.15727565987992026</v>
          </cell>
        </row>
        <row r="64">
          <cell r="D64">
            <v>0.16808606136000001</v>
          </cell>
          <cell r="F64">
            <v>0.40211660498798141</v>
          </cell>
          <cell r="H64">
            <v>29.990611384634143</v>
          </cell>
        </row>
        <row r="65">
          <cell r="D65">
            <v>1.5222226607999998</v>
          </cell>
          <cell r="F65">
            <v>1.1441045958887424</v>
          </cell>
          <cell r="H65">
            <v>24.195101710676518</v>
          </cell>
        </row>
        <row r="66">
          <cell r="D66">
            <v>1.3469816945999999</v>
          </cell>
          <cell r="F66">
            <v>0.4522623132061509</v>
          </cell>
          <cell r="H66">
            <v>11.201975808491149</v>
          </cell>
        </row>
        <row r="67">
          <cell r="D67">
            <v>5.5965133959000006</v>
          </cell>
          <cell r="F67">
            <v>3.1530868275000001</v>
          </cell>
          <cell r="H67">
            <v>5.3338573528202167</v>
          </cell>
        </row>
        <row r="68">
          <cell r="D68">
            <v>1.3022513293999998</v>
          </cell>
          <cell r="F68">
            <v>3.1153892058374186</v>
          </cell>
          <cell r="H68">
            <v>5.3174290572825269</v>
          </cell>
        </row>
        <row r="69">
          <cell r="D69">
            <v>7.6882545752480005E-2</v>
          </cell>
          <cell r="F69">
            <v>0.39869750557020039</v>
          </cell>
          <cell r="H69">
            <v>0.39561727444352457</v>
          </cell>
        </row>
        <row r="70">
          <cell r="D70">
            <v>0.87567153001999998</v>
          </cell>
          <cell r="F70">
            <v>2.0948840922697709</v>
          </cell>
          <cell r="H70">
            <v>1.8427100852036136</v>
          </cell>
        </row>
        <row r="71">
          <cell r="D71">
            <v>0.43971308928000002</v>
          </cell>
          <cell r="F71">
            <v>1.0519290415551237</v>
          </cell>
          <cell r="H71">
            <v>0.9253014102095618</v>
          </cell>
        </row>
        <row r="72">
          <cell r="D72">
            <v>120.74262521999999</v>
          </cell>
          <cell r="F72">
            <v>76.249643083498839</v>
          </cell>
          <cell r="H72">
            <v>51.936348868460506</v>
          </cell>
        </row>
        <row r="73">
          <cell r="D73">
            <v>1.2009796071000001</v>
          </cell>
          <cell r="F73">
            <v>2.8731425339700984</v>
          </cell>
          <cell r="H73">
            <v>3.2131632570025541</v>
          </cell>
        </row>
        <row r="74">
          <cell r="D74">
            <v>14.305148127881367</v>
          </cell>
          <cell r="F74">
            <v>14.25300062122507</v>
          </cell>
          <cell r="H74">
            <v>10.197135161610925</v>
          </cell>
        </row>
        <row r="75">
          <cell r="D75">
            <v>2.8027438079999998</v>
          </cell>
          <cell r="F75">
            <v>1.3298700814845956</v>
          </cell>
          <cell r="H75">
            <v>0.52274193741089403</v>
          </cell>
        </row>
        <row r="76">
          <cell r="D76">
            <v>10.419619588</v>
          </cell>
          <cell r="F76">
            <v>13.34428044163978</v>
          </cell>
          <cell r="H76">
            <v>11.146698655661789</v>
          </cell>
        </row>
        <row r="77">
          <cell r="D77">
            <v>2.8233802191000006</v>
          </cell>
          <cell r="F77">
            <v>2.3966733758666199</v>
          </cell>
          <cell r="H77">
            <v>13.206382852552332</v>
          </cell>
        </row>
        <row r="78">
          <cell r="D78">
            <v>8.6105939198719991E-2</v>
          </cell>
          <cell r="F78">
            <v>3.5407272372485983E-2</v>
          </cell>
          <cell r="H78">
            <v>1.0610668879575558E-2</v>
          </cell>
        </row>
        <row r="79">
          <cell r="D79">
            <v>1.0668089780000001</v>
          </cell>
          <cell r="F79">
            <v>2.5521496869122262</v>
          </cell>
          <cell r="H79">
            <v>2.2449323279668376</v>
          </cell>
        </row>
        <row r="80">
          <cell r="D80">
            <v>0.14842073889999999</v>
          </cell>
          <cell r="F80">
            <v>0.35506872831486475</v>
          </cell>
          <cell r="H80">
            <v>0.31642142489414915</v>
          </cell>
        </row>
        <row r="81">
          <cell r="D81">
            <v>0.35959443200000002</v>
          </cell>
          <cell r="F81">
            <v>6.7538191791851929</v>
          </cell>
          <cell r="H81">
            <v>7.2894779520668322</v>
          </cell>
        </row>
        <row r="82">
          <cell r="D82">
            <v>7.188576332671999E-2</v>
          </cell>
          <cell r="F82">
            <v>0.83714189290360663</v>
          </cell>
          <cell r="H82">
            <v>0.83369535142424089</v>
          </cell>
        </row>
        <row r="83">
          <cell r="H83">
            <v>89.913681324367801</v>
          </cell>
        </row>
        <row r="84">
          <cell r="D84">
            <v>7.9642809430400002E-2</v>
          </cell>
          <cell r="F84">
            <v>0.50307488480556162</v>
          </cell>
          <cell r="H84">
            <v>0.48762675309190345</v>
          </cell>
        </row>
        <row r="85">
          <cell r="D85">
            <v>0.11822790566999999</v>
          </cell>
          <cell r="F85">
            <v>0.9211417887422777</v>
          </cell>
          <cell r="H85">
            <v>0.97332470510590086</v>
          </cell>
        </row>
        <row r="86">
          <cell r="D86">
            <v>7.6073260364799986E-2</v>
          </cell>
          <cell r="F86">
            <v>0.40138239022316952</v>
          </cell>
          <cell r="H86">
            <v>0.39969726184658183</v>
          </cell>
        </row>
        <row r="87">
          <cell r="D87">
            <v>0.12310290181</v>
          </cell>
          <cell r="F87">
            <v>0.29450139423519084</v>
          </cell>
          <cell r="H87">
            <v>0.28719349021198576</v>
          </cell>
        </row>
        <row r="88">
          <cell r="D88">
            <v>10.593085365</v>
          </cell>
          <cell r="F88">
            <v>22.444440396429872</v>
          </cell>
          <cell r="H88">
            <v>18.426632034663562</v>
          </cell>
        </row>
        <row r="89">
          <cell r="H89">
            <v>44.60939539458866</v>
          </cell>
        </row>
        <row r="90">
          <cell r="H90">
            <v>117.76623815105481</v>
          </cell>
        </row>
        <row r="91">
          <cell r="H91">
            <v>1756.6763871366707</v>
          </cell>
        </row>
      </sheetData>
      <sheetData sheetId="58">
        <row r="54">
          <cell r="A54" t="str">
            <v>Andorra</v>
          </cell>
        </row>
        <row r="55">
          <cell r="A55" t="str">
            <v>Anguilla</v>
          </cell>
        </row>
        <row r="56">
          <cell r="A56" t="str">
            <v>Antigua and Barbuda</v>
          </cell>
        </row>
        <row r="57">
          <cell r="A57" t="str">
            <v>Aruba</v>
          </cell>
        </row>
        <row r="58">
          <cell r="A58" t="str">
            <v>Bahamas, The</v>
          </cell>
        </row>
        <row r="59">
          <cell r="A59" t="str">
            <v>Bahrain</v>
          </cell>
        </row>
        <row r="60">
          <cell r="A60" t="str">
            <v>Barbados</v>
          </cell>
        </row>
        <row r="61">
          <cell r="A61" t="str">
            <v>Belize</v>
          </cell>
        </row>
        <row r="62">
          <cell r="A62" t="str">
            <v>Bermuda</v>
          </cell>
        </row>
        <row r="63">
          <cell r="A63" t="str">
            <v>Bonaire</v>
          </cell>
        </row>
        <row r="64">
          <cell r="A64" t="str">
            <v>British Virgin Islands</v>
          </cell>
        </row>
        <row r="65">
          <cell r="A65" t="str">
            <v>Cayman Islands</v>
          </cell>
        </row>
        <row r="66">
          <cell r="A66" t="str">
            <v>Curacao</v>
          </cell>
        </row>
        <row r="67">
          <cell r="A67" t="str">
            <v>Cyprus</v>
          </cell>
        </row>
        <row r="68">
          <cell r="A68" t="str">
            <v>Jersey</v>
          </cell>
        </row>
        <row r="69">
          <cell r="A69" t="str">
            <v>Grenada</v>
          </cell>
        </row>
        <row r="70">
          <cell r="A70" t="str">
            <v>Guernsey</v>
          </cell>
        </row>
        <row r="71">
          <cell r="A71" t="str">
            <v>Gibraltar</v>
          </cell>
        </row>
        <row r="72">
          <cell r="A72" t="str">
            <v>Hong Kong</v>
          </cell>
        </row>
        <row r="73">
          <cell r="A73" t="str">
            <v>Isle of man</v>
          </cell>
        </row>
        <row r="74">
          <cell r="A74" t="str">
            <v>Lebanon</v>
          </cell>
        </row>
        <row r="75">
          <cell r="A75" t="str">
            <v>Liechtenstein</v>
          </cell>
        </row>
        <row r="76">
          <cell r="A76" t="str">
            <v>Macau</v>
          </cell>
        </row>
        <row r="79">
          <cell r="A79" t="str">
            <v>Monaco</v>
          </cell>
        </row>
        <row r="80">
          <cell r="A80" t="str">
            <v>Sint Maarten</v>
          </cell>
        </row>
        <row r="81">
          <cell r="A81" t="str">
            <v>Mauritius</v>
          </cell>
        </row>
        <row r="82">
          <cell r="A82" t="str">
            <v>Seychelles</v>
          </cell>
        </row>
        <row r="83">
          <cell r="A83" t="str">
            <v>Singapore</v>
          </cell>
        </row>
        <row r="84">
          <cell r="A84" t="str">
            <v>St. Kitts and Nevis</v>
          </cell>
        </row>
        <row r="85">
          <cell r="A85" t="str">
            <v>St. Lucia</v>
          </cell>
        </row>
        <row r="86">
          <cell r="A86" t="str">
            <v>St. Vincent and the Grenadines</v>
          </cell>
        </row>
        <row r="87">
          <cell r="A87" t="str">
            <v>Turks and Caicos</v>
          </cell>
        </row>
        <row r="88">
          <cell r="A88" t="str">
            <v>Panama</v>
          </cell>
        </row>
      </sheetData>
      <sheetData sheetId="59" refreshError="1"/>
      <sheetData sheetId="60" refreshError="1"/>
      <sheetData sheetId="61" refreshError="1"/>
      <sheetData sheetId="62" refreshError="1"/>
      <sheetData sheetId="63" refreshError="1"/>
      <sheetData sheetId="64">
        <row r="10">
          <cell r="M10">
            <v>0.27383940346897767</v>
          </cell>
        </row>
        <row r="91">
          <cell r="C91">
            <v>1703.2290592571801</v>
          </cell>
          <cell r="P91">
            <v>616.46162984891726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Tables"/>
      <sheetName val="TableA1"/>
      <sheetName val="TableA2"/>
      <sheetName val="TableA2b"/>
      <sheetName val="TableA3"/>
      <sheetName val="TableA4"/>
      <sheetName val="TableA5"/>
      <sheetName val="TableA6"/>
      <sheetName val="TableA7"/>
      <sheetName val="TableA8"/>
      <sheetName val="TableA9"/>
      <sheetName val="TableA10"/>
      <sheetName val="TableA10b"/>
      <sheetName val="TableA11"/>
      <sheetName val="TableA11b"/>
      <sheetName val="TableB1"/>
      <sheetName val="TableB1b"/>
      <sheetName val="TableB2"/>
      <sheetName val="TableB3"/>
      <sheetName val="TableB4"/>
      <sheetName val="TableB5"/>
      <sheetName val="TableB6"/>
      <sheetName val="TableB7"/>
      <sheetName val="TableB8"/>
      <sheetName val="TableB9"/>
      <sheetName val="TableB10"/>
      <sheetName val="TableB11"/>
      <sheetName val="TableB12a"/>
      <sheetName val="TableB12b"/>
      <sheetName val="TableC1"/>
      <sheetName val="TableC2"/>
      <sheetName val="TableC3"/>
      <sheetName val="TableC4"/>
      <sheetName val="TableC4b"/>
      <sheetName val="TableC4c"/>
      <sheetName val="TableC4d"/>
      <sheetName val="TableC4e"/>
      <sheetName val="TableC5"/>
      <sheetName val="TableC5b"/>
      <sheetName val="TableC6"/>
      <sheetName val="TableD1a"/>
      <sheetName val="TableD1b"/>
      <sheetName val="TableD2"/>
      <sheetName val="TableD2(aux)"/>
      <sheetName val="TableE1"/>
      <sheetName val="TableE1(aux)"/>
      <sheetName val="TableE2"/>
      <sheetName val="TableE3a"/>
      <sheetName val="TableE3b"/>
      <sheetName val="TableE3c"/>
      <sheetName val="TableE4"/>
      <sheetName val="TableF1a"/>
      <sheetName val="TableF1b"/>
      <sheetName val="TableF1c"/>
      <sheetName val="TableF2"/>
      <sheetName val="TableF3"/>
      <sheetName val="Disc. 1"/>
      <sheetName val="Disc. 2"/>
    </sheetNames>
    <sheetDataSet>
      <sheetData sheetId="0" refreshError="1"/>
      <sheetData sheetId="1" refreshError="1">
        <row r="10">
          <cell r="A10" t="str">
            <v>Australia</v>
          </cell>
        </row>
        <row r="11">
          <cell r="A11" t="str">
            <v>Austria</v>
          </cell>
        </row>
        <row r="12">
          <cell r="A12" t="str">
            <v>Belgium</v>
          </cell>
        </row>
        <row r="13">
          <cell r="A13" t="str">
            <v>Canada</v>
          </cell>
        </row>
        <row r="14">
          <cell r="A14" t="str">
            <v>Chile</v>
          </cell>
        </row>
        <row r="15">
          <cell r="A15" t="str">
            <v>Czech Republic</v>
          </cell>
        </row>
        <row r="16">
          <cell r="A16" t="str">
            <v>Denmark</v>
          </cell>
        </row>
        <row r="17">
          <cell r="A17" t="str">
            <v>Estonia</v>
          </cell>
        </row>
        <row r="18">
          <cell r="A18" t="str">
            <v>Finland</v>
          </cell>
        </row>
        <row r="19">
          <cell r="A19" t="str">
            <v>France</v>
          </cell>
        </row>
        <row r="20">
          <cell r="A20" t="str">
            <v>Germany</v>
          </cell>
        </row>
        <row r="21">
          <cell r="A21" t="str">
            <v>Greece</v>
          </cell>
        </row>
        <row r="22">
          <cell r="A22" t="str">
            <v>Hungary</v>
          </cell>
        </row>
        <row r="23">
          <cell r="A23" t="str">
            <v>Iceland</v>
          </cell>
        </row>
        <row r="24">
          <cell r="A24" t="str">
            <v>Ireland</v>
          </cell>
        </row>
        <row r="25">
          <cell r="A25" t="str">
            <v>Israel</v>
          </cell>
        </row>
        <row r="26">
          <cell r="A26" t="str">
            <v>Italy</v>
          </cell>
        </row>
        <row r="27">
          <cell r="A27" t="str">
            <v>Japan</v>
          </cell>
        </row>
        <row r="28">
          <cell r="A28" t="str">
            <v>Korea</v>
          </cell>
        </row>
        <row r="29">
          <cell r="A29" t="str">
            <v>Latvia</v>
          </cell>
        </row>
        <row r="30">
          <cell r="A30" t="str">
            <v>Luxembourg</v>
          </cell>
        </row>
        <row r="31">
          <cell r="A31" t="str">
            <v>Mexico</v>
          </cell>
        </row>
        <row r="32">
          <cell r="A32" t="str">
            <v>Netherlands</v>
          </cell>
        </row>
        <row r="33">
          <cell r="A33" t="str">
            <v>New Zealand</v>
          </cell>
        </row>
        <row r="34">
          <cell r="A34" t="str">
            <v>Norway</v>
          </cell>
        </row>
        <row r="35">
          <cell r="A35" t="str">
            <v>Poland</v>
          </cell>
        </row>
        <row r="36">
          <cell r="A36" t="str">
            <v>Portugal</v>
          </cell>
        </row>
        <row r="37">
          <cell r="A37" t="str">
            <v>Slovakia</v>
          </cell>
        </row>
        <row r="38">
          <cell r="A38" t="str">
            <v>Slovenia</v>
          </cell>
        </row>
        <row r="39">
          <cell r="A39" t="str">
            <v>Spain</v>
          </cell>
        </row>
        <row r="40">
          <cell r="A40" t="str">
            <v>Sweden</v>
          </cell>
        </row>
        <row r="42">
          <cell r="A42" t="str">
            <v>Turkey</v>
          </cell>
        </row>
        <row r="43">
          <cell r="A43" t="str">
            <v>United Kingdom</v>
          </cell>
        </row>
        <row r="44">
          <cell r="A44" t="str">
            <v>United States</v>
          </cell>
        </row>
        <row r="46">
          <cell r="A46" t="str">
            <v>Brazil</v>
          </cell>
        </row>
        <row r="47">
          <cell r="A47" t="str">
            <v>China</v>
          </cell>
        </row>
        <row r="48">
          <cell r="A48" t="str">
            <v>Colombia</v>
          </cell>
        </row>
        <row r="49">
          <cell r="A49" t="str">
            <v>Costa Rica</v>
          </cell>
        </row>
        <row r="50">
          <cell r="A50" t="str">
            <v>India</v>
          </cell>
        </row>
        <row r="51">
          <cell r="A51" t="str">
            <v>Russia</v>
          </cell>
        </row>
        <row r="56">
          <cell r="A56" t="str">
            <v>Antigua and Barbuda</v>
          </cell>
        </row>
        <row r="60">
          <cell r="A60" t="str">
            <v>Barbados</v>
          </cell>
        </row>
        <row r="67">
          <cell r="A67" t="str">
            <v>Cyprus</v>
          </cell>
        </row>
        <row r="69">
          <cell r="A69" t="str">
            <v>Grenada</v>
          </cell>
        </row>
        <row r="79">
          <cell r="A79" t="str">
            <v>Monaco</v>
          </cell>
        </row>
        <row r="82">
          <cell r="A82" t="str">
            <v>Seychelles</v>
          </cell>
        </row>
        <row r="84">
          <cell r="A84" t="str">
            <v>St. Kitts and Nevis</v>
          </cell>
        </row>
        <row r="85">
          <cell r="A85" t="str">
            <v>St. Lucia</v>
          </cell>
        </row>
        <row r="86">
          <cell r="A86" t="str">
            <v>St. Vincent and the Grenadines</v>
          </cell>
        </row>
        <row r="87">
          <cell r="A87" t="str">
            <v>Turks and Caicos</v>
          </cell>
        </row>
        <row r="88">
          <cell r="A88" t="str">
            <v>Panama</v>
          </cell>
        </row>
      </sheetData>
      <sheetData sheetId="2" refreshError="1">
        <row r="9">
          <cell r="G9">
            <v>4656.1796282132627</v>
          </cell>
        </row>
        <row r="10">
          <cell r="F10">
            <v>178.84741076861815</v>
          </cell>
        </row>
        <row r="11">
          <cell r="F11">
            <v>47.957043627358011</v>
          </cell>
        </row>
        <row r="15">
          <cell r="F15">
            <v>33.577437877940952</v>
          </cell>
        </row>
        <row r="16">
          <cell r="F16">
            <v>51.69259919912686</v>
          </cell>
        </row>
        <row r="17">
          <cell r="F17">
            <v>4.0797019715879275</v>
          </cell>
        </row>
        <row r="18">
          <cell r="F18">
            <v>25.094852932206081</v>
          </cell>
        </row>
        <row r="19">
          <cell r="F19">
            <v>187.65852722592464</v>
          </cell>
        </row>
        <row r="20">
          <cell r="F20">
            <v>553.04943443142031</v>
          </cell>
        </row>
        <row r="21">
          <cell r="F21">
            <v>22.607784095761257</v>
          </cell>
        </row>
        <row r="22">
          <cell r="F22">
            <v>20.668289583202817</v>
          </cell>
        </row>
        <row r="26">
          <cell r="F26">
            <v>211.89440797463348</v>
          </cell>
        </row>
        <row r="29">
          <cell r="F29">
            <v>4.1858751479217755</v>
          </cell>
        </row>
        <row r="35">
          <cell r="F35">
            <v>87.784586815227485</v>
          </cell>
        </row>
        <row r="36">
          <cell r="F36">
            <v>26.618072907828797</v>
          </cell>
        </row>
        <row r="37">
          <cell r="F37">
            <v>11.604550057172386</v>
          </cell>
        </row>
        <row r="38">
          <cell r="F38">
            <v>3.417758487410429</v>
          </cell>
        </row>
        <row r="39">
          <cell r="F39">
            <v>158.95366208289389</v>
          </cell>
        </row>
        <row r="40">
          <cell r="F40">
            <v>63.367762356160583</v>
          </cell>
        </row>
        <row r="43">
          <cell r="F43">
            <v>425.05098961874262</v>
          </cell>
        </row>
        <row r="44">
          <cell r="F44">
            <v>1889.3969000000002</v>
          </cell>
        </row>
      </sheetData>
      <sheetData sheetId="3" refreshError="1"/>
      <sheetData sheetId="4" refreshError="1"/>
      <sheetData sheetId="5" refreshError="1"/>
      <sheetData sheetId="6" refreshError="1"/>
      <sheetData sheetId="7" refreshError="1"/>
      <sheetData sheetId="8" refreshError="1">
        <row r="3">
          <cell r="A3" t="str">
            <v>Table A.7: Artificially shifted profits (2015)</v>
          </cell>
        </row>
        <row r="9">
          <cell r="A9" t="str">
            <v>OECD countries</v>
          </cell>
          <cell r="B9">
            <v>6449.286986082956</v>
          </cell>
          <cell r="C9">
            <v>956.10086642796193</v>
          </cell>
          <cell r="D9">
            <v>83.176702611519431</v>
          </cell>
          <cell r="E9">
            <v>5410.0094170434731</v>
          </cell>
          <cell r="F9">
            <v>0.1501860357195384</v>
          </cell>
          <cell r="G9">
            <v>0.41149842417638866</v>
          </cell>
          <cell r="H9">
            <v>5.4072503583288559E-3</v>
          </cell>
          <cell r="I9">
            <v>7.7645217153016902E-3</v>
          </cell>
          <cell r="J9">
            <v>6.6527210204393103E-3</v>
          </cell>
          <cell r="K9">
            <v>1.1118006948623801E-3</v>
          </cell>
          <cell r="L9">
            <v>0.41385569553336149</v>
          </cell>
          <cell r="M9">
            <v>0.42001657601288439</v>
          </cell>
          <cell r="O9">
            <v>0.41278563924415895</v>
          </cell>
          <cell r="P9">
            <v>281.74149562210863</v>
          </cell>
        </row>
        <row r="10">
          <cell r="A10" t="str">
            <v>Australia</v>
          </cell>
          <cell r="B10">
            <v>178.84741076861815</v>
          </cell>
          <cell r="C10">
            <v>28.299110069424813</v>
          </cell>
          <cell r="D10">
            <v>0</v>
          </cell>
          <cell r="E10">
            <v>150.54830069919333</v>
          </cell>
          <cell r="F10">
            <v>0.15823047114747707</v>
          </cell>
          <cell r="G10">
            <v>0.35986511293798373</v>
          </cell>
          <cell r="H10">
            <v>0</v>
          </cell>
          <cell r="I10">
            <v>0</v>
          </cell>
          <cell r="J10">
            <v>0</v>
          </cell>
          <cell r="K10">
            <v>0</v>
          </cell>
          <cell r="L10">
            <v>0.35986511293798373</v>
          </cell>
          <cell r="M10">
            <v>0.27383940346897767</v>
          </cell>
          <cell r="N10">
            <v>0.27383940346897767</v>
          </cell>
          <cell r="O10">
            <v>0.38244922547378107</v>
          </cell>
          <cell r="P10">
            <v>-11.223955605361816</v>
          </cell>
        </row>
        <row r="11">
          <cell r="A11" t="str">
            <v>Austria</v>
          </cell>
          <cell r="B11">
            <v>47.957043627358011</v>
          </cell>
          <cell r="C11">
            <v>11.294821742987047</v>
          </cell>
          <cell r="D11">
            <v>0</v>
          </cell>
          <cell r="E11">
            <v>36.662221884370965</v>
          </cell>
          <cell r="F11">
            <v>0.23551955851890127</v>
          </cell>
          <cell r="G11">
            <v>0.38573161702393371</v>
          </cell>
          <cell r="H11">
            <v>0</v>
          </cell>
          <cell r="I11">
            <v>0</v>
          </cell>
          <cell r="J11">
            <v>0</v>
          </cell>
          <cell r="K11">
            <v>0</v>
          </cell>
          <cell r="L11">
            <v>0.38573161702393371</v>
          </cell>
          <cell r="M11">
            <v>0.33058399232200741</v>
          </cell>
          <cell r="N11">
            <v>-3.7660055234747677E-3</v>
          </cell>
          <cell r="O11">
            <v>0.40662961061080261</v>
          </cell>
          <cell r="P11">
            <v>-2.5981950816013484</v>
          </cell>
        </row>
        <row r="12">
          <cell r="A12" t="str">
            <v>Belgium</v>
          </cell>
          <cell r="B12">
            <v>80.241889758299209</v>
          </cell>
          <cell r="C12">
            <v>32.206747942780808</v>
          </cell>
          <cell r="D12">
            <v>0</v>
          </cell>
          <cell r="E12">
            <v>48.035141815518401</v>
          </cell>
          <cell r="F12">
            <v>0.40137075584576132</v>
          </cell>
          <cell r="G12">
            <v>0.46042895713758619</v>
          </cell>
          <cell r="H12">
            <v>0</v>
          </cell>
          <cell r="I12">
            <v>2.1427357922788704E-2</v>
          </cell>
          <cell r="J12">
            <v>2.1427357922788704E-2</v>
          </cell>
          <cell r="K12">
            <v>0</v>
          </cell>
          <cell r="L12">
            <v>0.48185631506037491</v>
          </cell>
          <cell r="M12">
            <v>0.67980103327038299</v>
          </cell>
          <cell r="N12">
            <v>0.60110878851222393</v>
          </cell>
          <cell r="O12">
            <v>0.4031489417707429</v>
          </cell>
          <cell r="P12">
            <v>13.106870602869716</v>
          </cell>
        </row>
        <row r="13">
          <cell r="A13" t="str">
            <v>Canada</v>
          </cell>
          <cell r="B13">
            <v>142.9569900038934</v>
          </cell>
          <cell r="C13">
            <v>46.935942392007277</v>
          </cell>
          <cell r="D13">
            <v>0</v>
          </cell>
          <cell r="E13">
            <v>96.021047611886118</v>
          </cell>
          <cell r="F13">
            <v>0.3283221225539863</v>
          </cell>
          <cell r="G13">
            <v>0.23305888899623428</v>
          </cell>
          <cell r="H13">
            <v>0</v>
          </cell>
          <cell r="I13">
            <v>0</v>
          </cell>
          <cell r="J13">
            <v>0</v>
          </cell>
          <cell r="K13">
            <v>0</v>
          </cell>
          <cell r="L13">
            <v>0.23305888899623428</v>
          </cell>
          <cell r="M13">
            <v>0.51265902111925798</v>
          </cell>
          <cell r="N13">
            <v>0.51265902111925798</v>
          </cell>
          <cell r="O13">
            <v>0.18400463874630477</v>
          </cell>
          <cell r="P13">
            <v>30.089596637272944</v>
          </cell>
        </row>
        <row r="14">
          <cell r="A14" t="str">
            <v>Chile</v>
          </cell>
          <cell r="B14">
            <v>67.542484958596845</v>
          </cell>
          <cell r="C14">
            <v>9.8951445885655183</v>
          </cell>
          <cell r="D14">
            <v>0</v>
          </cell>
          <cell r="E14">
            <v>57.64734037003133</v>
          </cell>
          <cell r="F14">
            <v>0.14650252496086255</v>
          </cell>
          <cell r="G14">
            <v>1.0076535203150763</v>
          </cell>
          <cell r="H14">
            <v>0</v>
          </cell>
          <cell r="I14">
            <v>0</v>
          </cell>
          <cell r="J14">
            <v>0</v>
          </cell>
          <cell r="K14">
            <v>0</v>
          </cell>
          <cell r="L14">
            <v>1.0076535203150763</v>
          </cell>
          <cell r="M14">
            <v>0.99074432261467493</v>
          </cell>
          <cell r="N14">
            <v>0.99075263293090166</v>
          </cell>
          <cell r="O14">
            <v>1.0106141880425457</v>
          </cell>
          <cell r="P14">
            <v>-0.19845199904374233</v>
          </cell>
        </row>
        <row r="15">
          <cell r="A15" t="str">
            <v>Czech Republic</v>
          </cell>
          <cell r="B15">
            <v>33.577437877940952</v>
          </cell>
          <cell r="C15">
            <v>17.490778418103861</v>
          </cell>
          <cell r="D15">
            <v>0</v>
          </cell>
          <cell r="E15">
            <v>16.08665945983709</v>
          </cell>
          <cell r="F15">
            <v>0.52090866735232977</v>
          </cell>
          <cell r="G15">
            <v>0.62169699268833523</v>
          </cell>
          <cell r="H15">
            <v>0</v>
          </cell>
          <cell r="I15">
            <v>0</v>
          </cell>
          <cell r="J15">
            <v>0</v>
          </cell>
          <cell r="K15">
            <v>0</v>
          </cell>
          <cell r="L15">
            <v>0.62169699268833523</v>
          </cell>
          <cell r="M15">
            <v>0.76443329218162037</v>
          </cell>
          <cell r="N15">
            <v>0.60775473399458968</v>
          </cell>
          <cell r="O15">
            <v>0.51678040684408355</v>
          </cell>
          <cell r="P15">
            <v>5.6664744803053289</v>
          </cell>
        </row>
        <row r="16">
          <cell r="A16" t="str">
            <v>Denmark</v>
          </cell>
          <cell r="B16">
            <v>51.69259919912686</v>
          </cell>
          <cell r="C16">
            <v>5.1092950429719881</v>
          </cell>
          <cell r="D16">
            <v>0</v>
          </cell>
          <cell r="E16">
            <v>46.583304156154874</v>
          </cell>
          <cell r="F16">
            <v>9.8839971719941855E-2</v>
          </cell>
          <cell r="G16">
            <v>0.52437213243531344</v>
          </cell>
          <cell r="H16">
            <v>0</v>
          </cell>
          <cell r="I16">
            <v>0</v>
          </cell>
          <cell r="J16">
            <v>0</v>
          </cell>
          <cell r="K16">
            <v>0</v>
          </cell>
          <cell r="L16">
            <v>0.52437213243531344</v>
          </cell>
          <cell r="M16">
            <v>0.22447139293998325</v>
          </cell>
          <cell r="N16">
            <v>0.2613430127041742</v>
          </cell>
          <cell r="O16">
            <v>0.6144052152506192</v>
          </cell>
          <cell r="P16">
            <v>-8.8754603396234497</v>
          </cell>
        </row>
        <row r="17">
          <cell r="A17" t="str">
            <v>Estonia</v>
          </cell>
          <cell r="B17">
            <v>4.0797019715879275</v>
          </cell>
          <cell r="C17">
            <v>1.4550356443784636</v>
          </cell>
          <cell r="D17">
            <v>0</v>
          </cell>
          <cell r="E17">
            <v>2.6246663272094639</v>
          </cell>
          <cell r="F17">
            <v>0.35665243552389325</v>
          </cell>
          <cell r="G17">
            <v>0.51266863641431581</v>
          </cell>
          <cell r="H17">
            <v>0</v>
          </cell>
          <cell r="I17">
            <v>0</v>
          </cell>
          <cell r="J17">
            <v>0</v>
          </cell>
          <cell r="K17">
            <v>0</v>
          </cell>
          <cell r="L17">
            <v>0.51266863641431581</v>
          </cell>
          <cell r="M17">
            <v>0.45190986584988918</v>
          </cell>
          <cell r="O17">
            <v>0.55395752101378837</v>
          </cell>
          <cell r="P17">
            <v>-0.32856767888762328</v>
          </cell>
        </row>
        <row r="18">
          <cell r="A18" t="str">
            <v>Finland</v>
          </cell>
          <cell r="B18">
            <v>25.094852932206081</v>
          </cell>
          <cell r="C18">
            <v>4.2466092034416771</v>
          </cell>
          <cell r="D18">
            <v>0</v>
          </cell>
          <cell r="E18">
            <v>20.848243728764402</v>
          </cell>
          <cell r="F18">
            <v>0.16922231881230471</v>
          </cell>
          <cell r="G18">
            <v>0.33261304168871642</v>
          </cell>
          <cell r="H18">
            <v>0</v>
          </cell>
          <cell r="I18">
            <v>0</v>
          </cell>
          <cell r="J18">
            <v>0</v>
          </cell>
          <cell r="K18">
            <v>0</v>
          </cell>
          <cell r="L18">
            <v>0.33261304168871642</v>
          </cell>
          <cell r="M18">
            <v>0.25990349075974173</v>
          </cell>
          <cell r="N18">
            <v>-0.86225490196078436</v>
          </cell>
          <cell r="O18">
            <v>0.35271194390671812</v>
          </cell>
          <cell r="P18">
            <v>-1.516413766275523</v>
          </cell>
        </row>
        <row r="19">
          <cell r="A19" t="str">
            <v>France</v>
          </cell>
          <cell r="B19">
            <v>187.65852722592464</v>
          </cell>
          <cell r="C19">
            <v>31.778815000521959</v>
          </cell>
          <cell r="D19">
            <v>0</v>
          </cell>
          <cell r="E19">
            <v>155.87971222540267</v>
          </cell>
          <cell r="F19">
            <v>0.16934383675655204</v>
          </cell>
          <cell r="G19">
            <v>0.21535775015018682</v>
          </cell>
          <cell r="H19">
            <v>0</v>
          </cell>
          <cell r="I19">
            <v>0</v>
          </cell>
          <cell r="J19">
            <v>0</v>
          </cell>
          <cell r="K19">
            <v>0</v>
          </cell>
          <cell r="L19">
            <v>0.21535775015018682</v>
          </cell>
          <cell r="M19">
            <v>0.2071972615008727</v>
          </cell>
          <cell r="N19">
            <v>0.14399522601820081</v>
          </cell>
          <cell r="O19">
            <v>0.2171009289647885</v>
          </cell>
          <cell r="P19">
            <v>-1.5189718912435666</v>
          </cell>
        </row>
        <row r="20">
          <cell r="A20" t="str">
            <v>Germany</v>
          </cell>
          <cell r="B20">
            <v>553.04943443142031</v>
          </cell>
          <cell r="C20">
            <v>42.83586575015805</v>
          </cell>
          <cell r="D20">
            <v>0</v>
          </cell>
          <cell r="E20">
            <v>510.21356868126225</v>
          </cell>
          <cell r="F20">
            <v>7.7453954535179656E-2</v>
          </cell>
          <cell r="G20">
            <v>0.45220474547375394</v>
          </cell>
          <cell r="H20">
            <v>0</v>
          </cell>
          <cell r="I20">
            <v>0</v>
          </cell>
          <cell r="J20">
            <v>0</v>
          </cell>
          <cell r="K20">
            <v>0</v>
          </cell>
          <cell r="L20">
            <v>0.45220474547375394</v>
          </cell>
          <cell r="M20">
            <v>0.18304850872360104</v>
          </cell>
          <cell r="N20">
            <v>0.24505490373044525</v>
          </cell>
          <cell r="O20">
            <v>0.51589201053413136</v>
          </cell>
          <cell r="P20">
            <v>-77.889952006640314</v>
          </cell>
        </row>
        <row r="21">
          <cell r="A21" t="str">
            <v>Greece</v>
          </cell>
          <cell r="B21">
            <v>22.607784095761257</v>
          </cell>
          <cell r="C21">
            <v>1.3429928248302583</v>
          </cell>
          <cell r="D21">
            <v>0</v>
          </cell>
          <cell r="E21">
            <v>21.264791270930999</v>
          </cell>
          <cell r="F21">
            <v>5.9404000814129172E-2</v>
          </cell>
          <cell r="G21">
            <v>0.81636062215561511</v>
          </cell>
          <cell r="H21">
            <v>0</v>
          </cell>
          <cell r="I21">
            <v>0</v>
          </cell>
          <cell r="J21">
            <v>0</v>
          </cell>
          <cell r="K21">
            <v>0</v>
          </cell>
          <cell r="L21">
            <v>0.81636062215561511</v>
          </cell>
          <cell r="M21">
            <v>0.32015467353035559</v>
          </cell>
          <cell r="N21">
            <v>0.14510686164229472</v>
          </cell>
          <cell r="O21">
            <v>0.90494041789473145</v>
          </cell>
          <cell r="P21">
            <v>-2.4530738535975614</v>
          </cell>
        </row>
        <row r="22">
          <cell r="A22" t="str">
            <v>Hungary</v>
          </cell>
          <cell r="B22">
            <v>20.668289583202817</v>
          </cell>
          <cell r="C22">
            <v>9.7164397220911169</v>
          </cell>
          <cell r="D22">
            <v>0</v>
          </cell>
          <cell r="E22">
            <v>10.9518498611117</v>
          </cell>
          <cell r="F22">
            <v>0.47011339196581114</v>
          </cell>
          <cell r="G22">
            <v>0.60422536243108271</v>
          </cell>
          <cell r="H22">
            <v>0</v>
          </cell>
          <cell r="I22">
            <v>0</v>
          </cell>
          <cell r="J22">
            <v>0</v>
          </cell>
          <cell r="K22">
            <v>0</v>
          </cell>
          <cell r="L22">
            <v>0.60422536243108271</v>
          </cell>
          <cell r="M22">
            <v>0.61386905762305399</v>
          </cell>
          <cell r="N22">
            <v>7.4171817058096412</v>
          </cell>
          <cell r="O22">
            <v>0.59591968343815072</v>
          </cell>
          <cell r="P22">
            <v>0.28410621149757276</v>
          </cell>
        </row>
        <row r="23">
          <cell r="A23" t="str">
            <v>Iceland</v>
          </cell>
          <cell r="B23">
            <v>2.1489969781260903</v>
          </cell>
          <cell r="C23">
            <v>-9.6186838505018343E-2</v>
          </cell>
          <cell r="D23">
            <v>0</v>
          </cell>
          <cell r="E23">
            <v>2.2451838166311084</v>
          </cell>
          <cell r="F23">
            <v>-4.4758945444815172E-2</v>
          </cell>
          <cell r="G23">
            <v>0.41910792740626918</v>
          </cell>
          <cell r="H23">
            <v>0</v>
          </cell>
          <cell r="I23">
            <v>0</v>
          </cell>
          <cell r="J23">
            <v>0</v>
          </cell>
          <cell r="K23">
            <v>0</v>
          </cell>
          <cell r="L23">
            <v>0.41910792740626918</v>
          </cell>
          <cell r="M23">
            <v>-6.7952586167860679E-2</v>
          </cell>
          <cell r="O23">
            <v>0.60483646934821078</v>
          </cell>
          <cell r="P23">
            <v>-0.95233244060805888</v>
          </cell>
        </row>
        <row r="24">
          <cell r="A24" t="str">
            <v>Ireland</v>
          </cell>
          <cell r="B24">
            <v>174.30510209753976</v>
          </cell>
          <cell r="C24">
            <v>116.2731292562101</v>
          </cell>
          <cell r="D24">
            <v>25.995157260117182</v>
          </cell>
          <cell r="E24">
            <v>32.03681558121248</v>
          </cell>
          <cell r="F24">
            <v>0.78398740815168366</v>
          </cell>
          <cell r="G24">
            <v>2.0458364548956904</v>
          </cell>
          <cell r="H24">
            <v>0.42364275085659048</v>
          </cell>
          <cell r="I24">
            <v>0.79481160128028239</v>
          </cell>
          <cell r="J24">
            <v>0.79481160128028239</v>
          </cell>
          <cell r="K24">
            <v>0</v>
          </cell>
          <cell r="L24">
            <v>2.4170053053193823</v>
          </cell>
          <cell r="M24">
            <v>7.9996490577609283</v>
          </cell>
          <cell r="N24">
            <v>7.7427987962166807</v>
          </cell>
          <cell r="O24">
            <v>0.68416351867003244</v>
          </cell>
          <cell r="P24">
            <v>106.3289638729139</v>
          </cell>
        </row>
        <row r="25">
          <cell r="A25" t="str">
            <v>Israel</v>
          </cell>
          <cell r="B25">
            <v>53.821062621875072</v>
          </cell>
          <cell r="C25">
            <v>5.8274626748237663</v>
          </cell>
          <cell r="D25">
            <v>0</v>
          </cell>
          <cell r="E25">
            <v>47.993599947051308</v>
          </cell>
          <cell r="F25">
            <v>0.10827476067808532</v>
          </cell>
          <cell r="G25">
            <v>0.58530208289956809</v>
          </cell>
          <cell r="H25">
            <v>0</v>
          </cell>
          <cell r="I25">
            <v>0</v>
          </cell>
          <cell r="J25">
            <v>0</v>
          </cell>
          <cell r="K25">
            <v>0</v>
          </cell>
          <cell r="L25">
            <v>0.58530208289956809</v>
          </cell>
          <cell r="M25">
            <v>0.507499525346497</v>
          </cell>
          <cell r="N25">
            <v>0.507499525346497</v>
          </cell>
          <cell r="O25">
            <v>0.59640392117908991</v>
          </cell>
          <cell r="P25">
            <v>-1.0208621337891248</v>
          </cell>
        </row>
        <row r="26">
          <cell r="A26" t="str">
            <v>Italy</v>
          </cell>
          <cell r="B26">
            <v>211.89440797463348</v>
          </cell>
          <cell r="C26">
            <v>13.197888688714203</v>
          </cell>
          <cell r="D26">
            <v>0</v>
          </cell>
          <cell r="E26">
            <v>198.69651928591927</v>
          </cell>
          <cell r="F26">
            <v>6.228521467302791E-2</v>
          </cell>
          <cell r="G26">
            <v>0.43094579515647402</v>
          </cell>
          <cell r="H26">
            <v>0</v>
          </cell>
          <cell r="I26">
            <v>0</v>
          </cell>
          <cell r="J26">
            <v>0</v>
          </cell>
          <cell r="K26">
            <v>0</v>
          </cell>
          <cell r="L26">
            <v>0.43094579515647402</v>
          </cell>
          <cell r="M26">
            <v>0.16233602672515596</v>
          </cell>
          <cell r="N26">
            <v>0.29230028211656228</v>
          </cell>
          <cell r="O26">
            <v>0.48415758018996907</v>
          </cell>
          <cell r="P26">
            <v>-26.164032260372608</v>
          </cell>
        </row>
        <row r="27">
          <cell r="A27" t="str">
            <v>Japan</v>
          </cell>
          <cell r="B27">
            <v>634.13536380108962</v>
          </cell>
          <cell r="C27">
            <v>32.091665406409945</v>
          </cell>
          <cell r="D27">
            <v>0</v>
          </cell>
          <cell r="E27">
            <v>602.04369839467972</v>
          </cell>
          <cell r="F27">
            <v>5.0606963809821832E-2</v>
          </cell>
          <cell r="G27">
            <v>0.41884260770852871</v>
          </cell>
          <cell r="H27">
            <v>0</v>
          </cell>
          <cell r="I27">
            <v>0</v>
          </cell>
          <cell r="J27">
            <v>0</v>
          </cell>
          <cell r="K27">
            <v>0</v>
          </cell>
          <cell r="L27">
            <v>0.41884260770852871</v>
          </cell>
          <cell r="M27">
            <v>0.23732566147384185</v>
          </cell>
          <cell r="N27">
            <v>0.85962139029186102</v>
          </cell>
          <cell r="O27">
            <v>0.43664443770241151</v>
          </cell>
          <cell r="P27">
            <v>-26.952295997908244</v>
          </cell>
        </row>
        <row r="28">
          <cell r="A28" t="str">
            <v>Korea</v>
          </cell>
          <cell r="B28">
            <v>248.21706968304588</v>
          </cell>
          <cell r="C28">
            <v>2.54407878701964</v>
          </cell>
          <cell r="D28">
            <v>0</v>
          </cell>
          <cell r="E28">
            <v>245.67299089602625</v>
          </cell>
          <cell r="F28">
            <v>1.0249411091139835E-2</v>
          </cell>
          <cell r="G28">
            <v>0.59857470740953445</v>
          </cell>
          <cell r="H28">
            <v>0</v>
          </cell>
          <cell r="I28">
            <v>0</v>
          </cell>
          <cell r="J28">
            <v>0</v>
          </cell>
          <cell r="K28">
            <v>0</v>
          </cell>
          <cell r="L28">
            <v>0.59857470740953445</v>
          </cell>
          <cell r="M28">
            <v>3.9749361886952154E-2</v>
          </cell>
          <cell r="N28">
            <v>0.68300783844825297</v>
          </cell>
          <cell r="O28">
            <v>0.70056738480426717</v>
          </cell>
          <cell r="P28">
            <v>-42.29434220769339</v>
          </cell>
        </row>
        <row r="29">
          <cell r="A29" t="str">
            <v>Latvia</v>
          </cell>
          <cell r="B29">
            <v>4.1858751479217755</v>
          </cell>
          <cell r="C29">
            <v>1.2242246708432463</v>
          </cell>
          <cell r="D29">
            <v>0</v>
          </cell>
          <cell r="E29">
            <v>2.9616504770785292</v>
          </cell>
          <cell r="F29">
            <v>0.29246564400064717</v>
          </cell>
          <cell r="G29">
            <v>0.4548799812563365</v>
          </cell>
          <cell r="H29">
            <v>0</v>
          </cell>
          <cell r="I29">
            <v>0</v>
          </cell>
          <cell r="J29">
            <v>0</v>
          </cell>
          <cell r="K29">
            <v>0</v>
          </cell>
          <cell r="L29">
            <v>0.4548799812563365</v>
          </cell>
          <cell r="M29">
            <v>0.41891257424263328</v>
          </cell>
          <cell r="O29">
            <v>0.47161797519422538</v>
          </cell>
          <cell r="P29">
            <v>-0.15402557979616138</v>
          </cell>
        </row>
        <row r="30">
          <cell r="A30" t="str">
            <v>Luxembourg</v>
          </cell>
          <cell r="B30">
            <v>91.027431841444567</v>
          </cell>
          <cell r="C30">
            <v>51.304832182529623</v>
          </cell>
          <cell r="D30">
            <v>35.507497845637872</v>
          </cell>
          <cell r="E30">
            <v>4.215101813277073</v>
          </cell>
          <cell r="F30">
            <v>0.92407948803405582</v>
          </cell>
          <cell r="G30">
            <v>2.7503859454118813</v>
          </cell>
          <cell r="H30">
            <v>1.6475060207484251</v>
          </cell>
          <cell r="I30">
            <v>1.4731795298014214</v>
          </cell>
          <cell r="J30">
            <v>1.1684081444524146</v>
          </cell>
          <cell r="K30">
            <v>0.30477138534900672</v>
          </cell>
          <cell r="L30">
            <v>2.5760594544648776</v>
          </cell>
          <cell r="M30">
            <v>4.6076539817790847</v>
          </cell>
          <cell r="N30">
            <v>5.5750591016548467</v>
          </cell>
          <cell r="O30">
            <v>0.40461450275815142</v>
          </cell>
          <cell r="P30">
            <v>46.799572185855702</v>
          </cell>
        </row>
        <row r="31">
          <cell r="A31" t="str">
            <v>Mexico</v>
          </cell>
          <cell r="B31">
            <v>325.04468785135941</v>
          </cell>
          <cell r="C31">
            <v>23.460473720946542</v>
          </cell>
          <cell r="D31">
            <v>0</v>
          </cell>
          <cell r="E31">
            <v>301.58421413041287</v>
          </cell>
          <cell r="F31">
            <v>7.2176148689053019E-2</v>
          </cell>
          <cell r="G31">
            <v>2.3179694326877476</v>
          </cell>
          <cell r="H31">
            <v>0</v>
          </cell>
          <cell r="I31">
            <v>0</v>
          </cell>
          <cell r="J31">
            <v>0</v>
          </cell>
          <cell r="K31">
            <v>0</v>
          </cell>
          <cell r="L31">
            <v>2.3179694326877476</v>
          </cell>
          <cell r="M31">
            <v>0.72504257375615577</v>
          </cell>
          <cell r="N31">
            <v>0.72504257375615588</v>
          </cell>
          <cell r="O31">
            <v>2.7957902732061406</v>
          </cell>
          <cell r="P31">
            <v>-67.003957759307255</v>
          </cell>
        </row>
        <row r="32">
          <cell r="A32" t="str">
            <v>Netherlands</v>
          </cell>
          <cell r="B32">
            <v>195.09598848383817</v>
          </cell>
          <cell r="C32">
            <v>89.333947018983608</v>
          </cell>
          <cell r="D32">
            <v>21.674047505764374</v>
          </cell>
          <cell r="E32">
            <v>84.087993959090184</v>
          </cell>
          <cell r="F32">
            <v>0.51512482512393487</v>
          </cell>
          <cell r="G32">
            <v>0.56640307035308279</v>
          </cell>
          <cell r="H32">
            <v>7.6847697431803794E-2</v>
          </cell>
          <cell r="I32">
            <v>0.12533101803891036</v>
          </cell>
          <cell r="J32">
            <v>8.7982667359788116E-2</v>
          </cell>
          <cell r="K32">
            <v>3.7348350679122254E-2</v>
          </cell>
          <cell r="L32">
            <v>0.61488639096018938</v>
          </cell>
          <cell r="M32">
            <v>1.1495705968665206</v>
          </cell>
          <cell r="N32">
            <v>1.7924291254711313</v>
          </cell>
          <cell r="O32">
            <v>0.41153378760859277</v>
          </cell>
          <cell r="P32">
            <v>57.353364287520073</v>
          </cell>
        </row>
        <row r="33">
          <cell r="A33" t="str">
            <v>New Zealand</v>
          </cell>
          <cell r="B33">
            <v>43.62366684525152</v>
          </cell>
          <cell r="C33">
            <v>6.2361538780448305</v>
          </cell>
          <cell r="D33">
            <v>0</v>
          </cell>
          <cell r="E33">
            <v>37.387512967206689</v>
          </cell>
          <cell r="F33">
            <v>0.1429534546045077</v>
          </cell>
          <cell r="G33">
            <v>0.76342747942908895</v>
          </cell>
          <cell r="H33">
            <v>0</v>
          </cell>
          <cell r="I33">
            <v>0</v>
          </cell>
          <cell r="J33">
            <v>0</v>
          </cell>
          <cell r="K33">
            <v>0</v>
          </cell>
          <cell r="L33">
            <v>0.76342747942908895</v>
          </cell>
          <cell r="M33">
            <v>0.67991169977924948</v>
          </cell>
          <cell r="N33">
            <v>0.67991169977924948</v>
          </cell>
          <cell r="O33">
            <v>0.77939599106707602</v>
          </cell>
          <cell r="P33">
            <v>-0.91247047097520007</v>
          </cell>
        </row>
        <row r="34">
          <cell r="A34" t="str">
            <v>Norway</v>
          </cell>
          <cell r="B34">
            <v>76.129871814410606</v>
          </cell>
          <cell r="C34">
            <v>6.9090708256049158</v>
          </cell>
          <cell r="D34">
            <v>0</v>
          </cell>
          <cell r="E34">
            <v>69.220800988805692</v>
          </cell>
          <cell r="F34">
            <v>9.0753743056967803E-2</v>
          </cell>
          <cell r="G34">
            <v>0.63204211939456467</v>
          </cell>
          <cell r="H34">
            <v>0</v>
          </cell>
          <cell r="I34">
            <v>0</v>
          </cell>
          <cell r="J34">
            <v>0</v>
          </cell>
          <cell r="K34">
            <v>0</v>
          </cell>
          <cell r="L34">
            <v>0.63204211939456467</v>
          </cell>
          <cell r="M34">
            <v>0.2081320757956302</v>
          </cell>
          <cell r="N34">
            <v>1.3034855769230769</v>
          </cell>
          <cell r="O34">
            <v>0.79331594976644759</v>
          </cell>
          <cell r="P34">
            <v>-19.425534559297006</v>
          </cell>
        </row>
        <row r="35">
          <cell r="A35" t="str">
            <v>Poland</v>
          </cell>
          <cell r="B35">
            <v>87.784586815227485</v>
          </cell>
          <cell r="C35">
            <v>19.384207569701928</v>
          </cell>
          <cell r="D35">
            <v>0</v>
          </cell>
          <cell r="E35">
            <v>68.400379245525556</v>
          </cell>
          <cell r="F35">
            <v>0.22081561550779508</v>
          </cell>
          <cell r="G35">
            <v>0.79203427559300121</v>
          </cell>
          <cell r="H35">
            <v>0</v>
          </cell>
          <cell r="I35">
            <v>0</v>
          </cell>
          <cell r="J35">
            <v>0</v>
          </cell>
          <cell r="K35">
            <v>0</v>
          </cell>
          <cell r="L35">
            <v>0.79203427559300121</v>
          </cell>
          <cell r="M35">
            <v>0.49458294133053354</v>
          </cell>
          <cell r="N35">
            <v>0.35369993211133743</v>
          </cell>
          <cell r="O35">
            <v>0.9547619569021214</v>
          </cell>
          <cell r="P35">
            <v>-18.035813230968905</v>
          </cell>
        </row>
        <row r="36">
          <cell r="A36" t="str">
            <v>Portugal</v>
          </cell>
          <cell r="B36">
            <v>26.618072907828797</v>
          </cell>
          <cell r="C36">
            <v>4.8218004507448811</v>
          </cell>
          <cell r="D36">
            <v>0</v>
          </cell>
          <cell r="E36">
            <v>21.796272457083916</v>
          </cell>
          <cell r="F36">
            <v>0.18114761603672341</v>
          </cell>
          <cell r="G36">
            <v>0.45898248483094545</v>
          </cell>
          <cell r="H36">
            <v>0</v>
          </cell>
          <cell r="I36">
            <v>0</v>
          </cell>
          <cell r="J36">
            <v>0</v>
          </cell>
          <cell r="K36">
            <v>0</v>
          </cell>
          <cell r="L36">
            <v>0.45898248483094545</v>
          </cell>
          <cell r="M36">
            <v>0.36763705254070139</v>
          </cell>
          <cell r="N36">
            <v>0.39500390320062451</v>
          </cell>
          <cell r="O36">
            <v>0.48567830507336524</v>
          </cell>
          <cell r="P36">
            <v>-1.5481882490761061</v>
          </cell>
        </row>
        <row r="37">
          <cell r="A37" t="str">
            <v>Slovakia</v>
          </cell>
          <cell r="B37">
            <v>11.604550057172386</v>
          </cell>
          <cell r="C37">
            <v>5.4939498259811472</v>
          </cell>
          <cell r="D37">
            <v>0</v>
          </cell>
          <cell r="E37">
            <v>6.1106002311912384</v>
          </cell>
          <cell r="F37">
            <v>0.47343066287912816</v>
          </cell>
          <cell r="G37">
            <v>0.546278965386233</v>
          </cell>
          <cell r="H37">
            <v>0</v>
          </cell>
          <cell r="I37">
            <v>0</v>
          </cell>
          <cell r="J37">
            <v>0</v>
          </cell>
          <cell r="K37">
            <v>0</v>
          </cell>
          <cell r="L37">
            <v>0.546278965386233</v>
          </cell>
          <cell r="M37">
            <v>0.57224436371630738</v>
          </cell>
          <cell r="O37">
            <v>0.52486666755881606</v>
          </cell>
          <cell r="P37">
            <v>0.45485932595201106</v>
          </cell>
        </row>
        <row r="38">
          <cell r="A38" t="str">
            <v>Slovenia</v>
          </cell>
          <cell r="B38">
            <v>3.417758487410429</v>
          </cell>
          <cell r="C38">
            <v>1.2522612330475162</v>
          </cell>
          <cell r="D38">
            <v>0</v>
          </cell>
          <cell r="E38">
            <v>2.1654972543629127</v>
          </cell>
          <cell r="F38">
            <v>0.36639839756387554</v>
          </cell>
          <cell r="G38">
            <v>0.22872131230765103</v>
          </cell>
          <cell r="H38">
            <v>0</v>
          </cell>
          <cell r="I38">
            <v>0</v>
          </cell>
          <cell r="J38">
            <v>0</v>
          </cell>
          <cell r="K38">
            <v>0</v>
          </cell>
          <cell r="L38">
            <v>0.22872131230765103</v>
          </cell>
          <cell r="M38">
            <v>0.31396441219878563</v>
          </cell>
          <cell r="O38">
            <v>0.19768378236215448</v>
          </cell>
          <cell r="P38">
            <v>0.46379054198845515</v>
          </cell>
        </row>
        <row r="39">
          <cell r="A39" t="str">
            <v>Spain</v>
          </cell>
          <cell r="B39">
            <v>158.95366208289389</v>
          </cell>
          <cell r="C39">
            <v>20.844161911169302</v>
          </cell>
          <cell r="D39">
            <v>0</v>
          </cell>
          <cell r="E39">
            <v>138.10950017172459</v>
          </cell>
          <cell r="F39">
            <v>0.13113357464075995</v>
          </cell>
          <cell r="G39">
            <v>0.40428538787668511</v>
          </cell>
          <cell r="H39">
            <v>0</v>
          </cell>
          <cell r="I39">
            <v>0</v>
          </cell>
          <cell r="J39">
            <v>0</v>
          </cell>
          <cell r="K39">
            <v>0</v>
          </cell>
          <cell r="L39">
            <v>0.40428538787668511</v>
          </cell>
          <cell r="M39">
            <v>0.24643753940062663</v>
          </cell>
          <cell r="N39">
            <v>0.26873857404021939</v>
          </cell>
          <cell r="O39">
            <v>0.44755015816737814</v>
          </cell>
          <cell r="P39">
            <v>-17.010492793220834</v>
          </cell>
        </row>
        <row r="40">
          <cell r="A40" t="str">
            <v>Sweden</v>
          </cell>
          <cell r="B40">
            <v>63.367762356160583</v>
          </cell>
          <cell r="C40">
            <v>24.473912269549327</v>
          </cell>
          <cell r="D40">
            <v>0</v>
          </cell>
          <cell r="E40">
            <v>38.893850086611252</v>
          </cell>
          <cell r="F40">
            <v>0.38622023817083678</v>
          </cell>
          <cell r="G40">
            <v>0.38626088690911503</v>
          </cell>
          <cell r="H40">
            <v>0</v>
          </cell>
          <cell r="I40">
            <v>0</v>
          </cell>
          <cell r="J40">
            <v>0</v>
          </cell>
          <cell r="K40">
            <v>0</v>
          </cell>
          <cell r="L40">
            <v>0.38626088690911503</v>
          </cell>
          <cell r="M40">
            <v>0.53949704245493946</v>
          </cell>
          <cell r="N40">
            <v>0.46141975308641975</v>
          </cell>
          <cell r="O40">
            <v>0.32769274240203272</v>
          </cell>
          <cell r="P40">
            <v>9.6083563947268509</v>
          </cell>
        </row>
        <row r="41">
          <cell r="A41" t="str">
            <v>Switzerland</v>
          </cell>
          <cell r="B41">
            <v>94.889238877326122</v>
          </cell>
          <cell r="C41">
            <v>60.313127140541056</v>
          </cell>
          <cell r="D41">
            <v>0</v>
          </cell>
          <cell r="E41">
            <v>34.576111736785066</v>
          </cell>
          <cell r="F41">
            <v>0.6356160914992115</v>
          </cell>
          <cell r="G41">
            <v>0.29546351380205693</v>
          </cell>
          <cell r="H41">
            <v>0</v>
          </cell>
          <cell r="I41">
            <v>0</v>
          </cell>
          <cell r="J41">
            <v>0</v>
          </cell>
          <cell r="K41">
            <v>0</v>
          </cell>
          <cell r="L41">
            <v>0.29546351380205693</v>
          </cell>
          <cell r="M41">
            <v>3.1934639833073937</v>
          </cell>
          <cell r="N41">
            <v>3.0350836431226766</v>
          </cell>
          <cell r="O41">
            <v>0.11438915202699569</v>
          </cell>
          <cell r="P41">
            <v>58.152724672949248</v>
          </cell>
        </row>
        <row r="42">
          <cell r="A42" t="str">
            <v>Turkey</v>
          </cell>
          <cell r="B42">
            <v>212.59949330572061</v>
          </cell>
          <cell r="C42">
            <v>3.6081037546987877</v>
          </cell>
          <cell r="D42">
            <v>0</v>
          </cell>
          <cell r="E42">
            <v>208.99138955102183</v>
          </cell>
          <cell r="F42">
            <v>1.6971365729034411E-2</v>
          </cell>
          <cell r="G42">
            <v>1.1786568376604671</v>
          </cell>
          <cell r="H42">
            <v>0</v>
          </cell>
          <cell r="I42">
            <v>0</v>
          </cell>
          <cell r="J42">
            <v>0</v>
          </cell>
          <cell r="K42">
            <v>0</v>
          </cell>
          <cell r="L42">
            <v>1.1786568376604671</v>
          </cell>
          <cell r="M42">
            <v>0.43176052765093853</v>
          </cell>
          <cell r="N42">
            <v>0.43176052765093859</v>
          </cell>
          <cell r="O42">
            <v>1.2149415243838195</v>
          </cell>
          <cell r="P42">
            <v>-6.5448277782474689</v>
          </cell>
        </row>
        <row r="43">
          <cell r="A43" t="str">
            <v>United Kingdom</v>
          </cell>
          <cell r="B43">
            <v>425.05098961874262</v>
          </cell>
          <cell r="C43">
            <v>72.19500365863982</v>
          </cell>
          <cell r="D43">
            <v>0</v>
          </cell>
          <cell r="E43">
            <v>352.85598596010277</v>
          </cell>
          <cell r="F43">
            <v>0.16985021896642677</v>
          </cell>
          <cell r="G43">
            <v>0.41977482452487414</v>
          </cell>
          <cell r="H43">
            <v>0</v>
          </cell>
          <cell r="I43">
            <v>0</v>
          </cell>
          <cell r="J43">
            <v>0</v>
          </cell>
          <cell r="K43">
            <v>0</v>
          </cell>
          <cell r="L43">
            <v>0.41977482452487414</v>
          </cell>
          <cell r="M43">
            <v>0.25723407405999843</v>
          </cell>
          <cell r="N43">
            <v>0.32541900820732633</v>
          </cell>
          <cell r="O43">
            <v>0.48210280844721259</v>
          </cell>
          <cell r="P43">
            <v>-63.111386627620902</v>
          </cell>
        </row>
        <row r="44">
          <cell r="A44" t="str">
            <v>United States</v>
          </cell>
          <cell r="B44">
            <v>1889.3969000000002</v>
          </cell>
          <cell r="C44">
            <v>152.79999999999998</v>
          </cell>
          <cell r="D44">
            <v>0</v>
          </cell>
          <cell r="E44">
            <v>1736.5969000000002</v>
          </cell>
          <cell r="F44">
            <v>8.0872367261743669E-2</v>
          </cell>
          <cell r="G44">
            <v>0.31301581156556391</v>
          </cell>
          <cell r="H44">
            <v>0</v>
          </cell>
          <cell r="I44">
            <v>0</v>
          </cell>
          <cell r="J44">
            <v>0</v>
          </cell>
          <cell r="K44">
            <v>0</v>
          </cell>
          <cell r="L44">
            <v>0.31301581156556391</v>
          </cell>
          <cell r="M44">
            <v>0.28343272646330486</v>
          </cell>
          <cell r="O44">
            <v>0.3159171001923794</v>
          </cell>
          <cell r="P44">
            <v>-17.51248829921272</v>
          </cell>
        </row>
        <row r="45">
          <cell r="A45" t="str">
            <v>Main developing countries</v>
          </cell>
          <cell r="B45">
            <v>3157.101545061153</v>
          </cell>
          <cell r="C45">
            <v>253.30348219544206</v>
          </cell>
          <cell r="D45">
            <v>0</v>
          </cell>
          <cell r="E45">
            <v>2903.7980628657106</v>
          </cell>
          <cell r="F45">
            <v>8.0232922058430522E-2</v>
          </cell>
          <cell r="G45">
            <v>0.68108145790918762</v>
          </cell>
          <cell r="H45">
            <v>0</v>
          </cell>
          <cell r="I45">
            <v>0</v>
          </cell>
          <cell r="J45">
            <v>0</v>
          </cell>
          <cell r="K45">
            <v>0</v>
          </cell>
          <cell r="L45">
            <v>0.68108145790918762</v>
          </cell>
          <cell r="M45">
            <v>0.60344989333222621</v>
          </cell>
          <cell r="N45">
            <v>0.20871685346538396</v>
          </cell>
          <cell r="O45">
            <v>0.68881132725607408</v>
          </cell>
          <cell r="P45">
            <v>0</v>
          </cell>
        </row>
        <row r="46">
          <cell r="A46" t="str">
            <v>Brazil</v>
          </cell>
          <cell r="B46">
            <v>274.33569999999997</v>
          </cell>
          <cell r="C46">
            <v>29.642380154899492</v>
          </cell>
          <cell r="D46">
            <v>0</v>
          </cell>
          <cell r="E46">
            <v>244.69331984510049</v>
          </cell>
          <cell r="F46">
            <v>0.10805148639021277</v>
          </cell>
          <cell r="G46">
            <v>0.40116486198248541</v>
          </cell>
          <cell r="H46">
            <v>0</v>
          </cell>
          <cell r="I46">
            <v>0</v>
          </cell>
          <cell r="J46">
            <v>0</v>
          </cell>
          <cell r="K46">
            <v>0</v>
          </cell>
          <cell r="L46">
            <v>0.40116486198248541</v>
          </cell>
          <cell r="M46">
            <v>0.28488946288839928</v>
          </cell>
          <cell r="N46">
            <v>0.28488946288839928</v>
          </cell>
          <cell r="O46">
            <v>0.42203123701335166</v>
          </cell>
          <cell r="P46">
            <v>-14.269424226903311</v>
          </cell>
        </row>
        <row r="47">
          <cell r="A47" t="str">
            <v>China</v>
          </cell>
          <cell r="B47">
            <v>2068.7040725409047</v>
          </cell>
          <cell r="C47">
            <v>162.29225058924547</v>
          </cell>
          <cell r="D47">
            <v>0</v>
          </cell>
          <cell r="E47">
            <v>1906.4118219516592</v>
          </cell>
          <cell r="F47">
            <v>7.8451167928484097E-2</v>
          </cell>
          <cell r="G47">
            <v>0.6894883048234598</v>
          </cell>
          <cell r="H47">
            <v>0</v>
          </cell>
          <cell r="I47">
            <v>0</v>
          </cell>
          <cell r="J47">
            <v>0</v>
          </cell>
          <cell r="K47">
            <v>0</v>
          </cell>
          <cell r="L47">
            <v>0.6894883048234598</v>
          </cell>
          <cell r="M47">
            <v>0.86041477550450374</v>
          </cell>
          <cell r="N47">
            <v>0.86041477550450385</v>
          </cell>
          <cell r="O47">
            <v>0.67802192655512161</v>
          </cell>
          <cell r="P47">
            <v>34.40311206885427</v>
          </cell>
        </row>
        <row r="48">
          <cell r="A48" t="str">
            <v>Colombia</v>
          </cell>
          <cell r="B48">
            <v>58.600733808963028</v>
          </cell>
          <cell r="C48">
            <v>6.7581585025254878</v>
          </cell>
          <cell r="D48">
            <v>0</v>
          </cell>
          <cell r="E48">
            <v>51.842575306437539</v>
          </cell>
          <cell r="F48">
            <v>0.11532549275845112</v>
          </cell>
          <cell r="G48">
            <v>1.0817835759803136</v>
          </cell>
          <cell r="H48">
            <v>0</v>
          </cell>
          <cell r="I48">
            <v>0</v>
          </cell>
          <cell r="J48">
            <v>0</v>
          </cell>
          <cell r="K48">
            <v>0</v>
          </cell>
          <cell r="L48">
            <v>1.0817835759803136</v>
          </cell>
          <cell r="M48">
            <v>0.59300746775288526</v>
          </cell>
          <cell r="N48">
            <v>0.59300746775288526</v>
          </cell>
          <cell r="O48">
            <v>1.2120095634890702</v>
          </cell>
          <cell r="P48">
            <v>-7.0544040401930346</v>
          </cell>
        </row>
        <row r="49">
          <cell r="A49" t="str">
            <v>Costa Rica</v>
          </cell>
          <cell r="B49">
            <v>13.202740172271037</v>
          </cell>
          <cell r="C49">
            <v>1.0992314060745381</v>
          </cell>
          <cell r="D49">
            <v>0</v>
          </cell>
          <cell r="E49">
            <v>12.103508766196498</v>
          </cell>
          <cell r="F49">
            <v>8.3257823128504119E-2</v>
          </cell>
          <cell r="G49">
            <v>0.84460673307568312</v>
          </cell>
          <cell r="H49">
            <v>0</v>
          </cell>
          <cell r="I49">
            <v>0</v>
          </cell>
          <cell r="J49">
            <v>0</v>
          </cell>
          <cell r="K49">
            <v>0</v>
          </cell>
          <cell r="L49">
            <v>0.84460673307568312</v>
          </cell>
          <cell r="M49">
            <v>0.58033898305084741</v>
          </cell>
          <cell r="N49">
            <v>0.58033898305084741</v>
          </cell>
          <cell r="O49">
            <v>0.88104330559766775</v>
          </cell>
          <cell r="P49">
            <v>-0.56956993229743369</v>
          </cell>
        </row>
        <row r="50">
          <cell r="A50" t="str">
            <v>India</v>
          </cell>
          <cell r="B50">
            <v>376.12710693199818</v>
          </cell>
          <cell r="C50">
            <v>7.7329709258650219</v>
          </cell>
          <cell r="D50">
            <v>0</v>
          </cell>
          <cell r="E50">
            <v>368.39413600613318</v>
          </cell>
          <cell r="F50">
            <v>2.0559461903560974E-2</v>
          </cell>
          <cell r="G50">
            <v>1.1804668339549873</v>
          </cell>
          <cell r="H50">
            <v>0</v>
          </cell>
          <cell r="I50">
            <v>0</v>
          </cell>
          <cell r="J50">
            <v>0</v>
          </cell>
          <cell r="K50">
            <v>0</v>
          </cell>
          <cell r="L50">
            <v>1.1804668339549873</v>
          </cell>
          <cell r="M50">
            <v>0.36740237691001698</v>
          </cell>
          <cell r="N50">
            <v>0.36740237691001698</v>
          </cell>
          <cell r="O50">
            <v>1.2379748666810551</v>
          </cell>
          <cell r="P50">
            <v>-18.323538919036906</v>
          </cell>
        </row>
        <row r="51">
          <cell r="A51" t="str">
            <v>Russia</v>
          </cell>
          <cell r="B51">
            <v>289.6640115913587</v>
          </cell>
          <cell r="C51">
            <v>37.035306707060499</v>
          </cell>
          <cell r="D51">
            <v>0</v>
          </cell>
          <cell r="E51">
            <v>252.6287048842982</v>
          </cell>
          <cell r="F51">
            <v>0.12785608575810162</v>
          </cell>
          <cell r="G51">
            <v>0.62204444586734098</v>
          </cell>
          <cell r="H51">
            <v>0</v>
          </cell>
          <cell r="I51">
            <v>0</v>
          </cell>
          <cell r="J51">
            <v>0</v>
          </cell>
          <cell r="K51">
            <v>0</v>
          </cell>
          <cell r="L51">
            <v>0.62204444586734098</v>
          </cell>
          <cell r="M51">
            <v>0.57186108637577915</v>
          </cell>
          <cell r="N51">
            <v>0.57186108637577915</v>
          </cell>
          <cell r="O51">
            <v>0.63015120382906453</v>
          </cell>
          <cell r="P51">
            <v>-3.7750293372023975</v>
          </cell>
        </row>
        <row r="52">
          <cell r="A52" t="str">
            <v>South Africa</v>
          </cell>
          <cell r="B52">
            <v>76.467180015656993</v>
          </cell>
          <cell r="C52">
            <v>8.7431839097715454</v>
          </cell>
          <cell r="D52">
            <v>0</v>
          </cell>
          <cell r="E52">
            <v>67.723996105885448</v>
          </cell>
          <cell r="F52">
            <v>0.11433903941509729</v>
          </cell>
          <cell r="G52">
            <v>0.78720845080042035</v>
          </cell>
          <cell r="H52">
            <v>0</v>
          </cell>
          <cell r="I52">
            <v>0</v>
          </cell>
          <cell r="J52">
            <v>0</v>
          </cell>
          <cell r="K52">
            <v>0</v>
          </cell>
          <cell r="L52">
            <v>0.78720845080042035</v>
          </cell>
          <cell r="M52">
            <v>0.31238725195429945</v>
          </cell>
          <cell r="N52">
            <v>0.31238725195429945</v>
          </cell>
          <cell r="O52">
            <v>0.97939430014021822</v>
          </cell>
          <cell r="P52">
            <v>-18.668384368823393</v>
          </cell>
        </row>
        <row r="53">
          <cell r="A53" t="str">
            <v>Non-OECD tax havens</v>
          </cell>
          <cell r="B53">
            <v>485.75226113968216</v>
          </cell>
          <cell r="C53">
            <v>379.64154036573251</v>
          </cell>
          <cell r="D53">
            <v>0</v>
          </cell>
          <cell r="E53">
            <v>106.11072077394961</v>
          </cell>
          <cell r="F53">
            <v>0.7815538304958366</v>
          </cell>
          <cell r="G53">
            <v>0.9495478158383921</v>
          </cell>
          <cell r="H53">
            <v>0</v>
          </cell>
          <cell r="I53">
            <v>0.59411815848754679</v>
          </cell>
          <cell r="J53">
            <v>0.1253592019677329</v>
          </cell>
          <cell r="K53">
            <v>0.57918768418334599</v>
          </cell>
          <cell r="L53">
            <v>1.5436659743259391</v>
          </cell>
          <cell r="M53">
            <v>4.0562827786519096</v>
          </cell>
          <cell r="N53">
            <v>3.6378279827459132</v>
          </cell>
          <cell r="O53">
            <v>0.47996308817683037</v>
          </cell>
          <cell r="P53">
            <v>334.72013422680857</v>
          </cell>
        </row>
        <row r="54">
          <cell r="A54" t="str">
            <v>Andorra</v>
          </cell>
          <cell r="B54">
            <v>1.2179448838266</v>
          </cell>
          <cell r="C54">
            <v>1.0713339190228408</v>
          </cell>
          <cell r="D54">
            <v>0</v>
          </cell>
          <cell r="E54">
            <v>0.14661096480375915</v>
          </cell>
          <cell r="F54">
            <v>0.87962430258491697</v>
          </cell>
          <cell r="G54">
            <v>2.3923255199351803</v>
          </cell>
          <cell r="H54">
            <v>0</v>
          </cell>
          <cell r="I54">
            <v>0</v>
          </cell>
          <cell r="J54">
            <v>0</v>
          </cell>
          <cell r="K54">
            <v>2.171958577610551</v>
          </cell>
          <cell r="L54">
            <v>2.3923255199351803</v>
          </cell>
          <cell r="M54">
            <v>5.2608691675727046</v>
          </cell>
          <cell r="N54">
            <v>1.5591216216216208</v>
          </cell>
          <cell r="O54">
            <v>0.47996308817683037</v>
          </cell>
          <cell r="P54">
            <v>0.97359327582033472</v>
          </cell>
          <cell r="Q54">
            <v>3.0833378643837484E-3</v>
          </cell>
        </row>
        <row r="55">
          <cell r="A55" t="str">
            <v>Anguilla</v>
          </cell>
          <cell r="B55">
            <v>0.23996156292186116</v>
          </cell>
          <cell r="C55">
            <v>0.22608681761471922</v>
          </cell>
          <cell r="D55">
            <v>0</v>
          </cell>
          <cell r="E55">
            <v>1.3874745307141934E-2</v>
          </cell>
          <cell r="F55">
            <v>0.94217930097554836</v>
          </cell>
          <cell r="G55">
            <v>2.3923282826230872</v>
          </cell>
          <cell r="H55">
            <v>0</v>
          </cell>
          <cell r="I55">
            <v>2.5882039102567727</v>
          </cell>
          <cell r="J55">
            <v>0</v>
          </cell>
          <cell r="K55">
            <v>2.5609602213968543</v>
          </cell>
          <cell r="L55">
            <v>4.9805321928798598</v>
          </cell>
          <cell r="M55">
            <v>11.731385849934403</v>
          </cell>
          <cell r="N55">
            <v>14.031458531935176</v>
          </cell>
          <cell r="O55">
            <v>0.47996308817683037</v>
          </cell>
          <cell r="P55">
            <v>0.21683698740995794</v>
          </cell>
          <cell r="Q55">
            <v>-1.5052088272046125E-2</v>
          </cell>
        </row>
        <row r="56">
          <cell r="A56" t="str">
            <v>Antigua and Barbuda</v>
          </cell>
          <cell r="B56">
            <v>0.83688997048164881</v>
          </cell>
          <cell r="C56">
            <v>0.80975658198969502</v>
          </cell>
          <cell r="D56">
            <v>0</v>
          </cell>
          <cell r="E56">
            <v>2.7133388491953736E-2</v>
          </cell>
          <cell r="F56">
            <v>0.96757830844078829</v>
          </cell>
          <cell r="G56">
            <v>7.8984192228753365</v>
          </cell>
          <cell r="H56">
            <v>0</v>
          </cell>
          <cell r="I56">
            <v>0.98383950752326899</v>
          </cell>
          <cell r="J56">
            <v>0</v>
          </cell>
          <cell r="K56">
            <v>7.7351530408344944</v>
          </cell>
          <cell r="L56">
            <v>8.8822587303986058</v>
          </cell>
          <cell r="M56">
            <v>21.485702193731267</v>
          </cell>
          <cell r="N56">
            <v>14.031458531935176</v>
          </cell>
          <cell r="O56">
            <v>0.47996308817683037</v>
          </cell>
          <cell r="P56">
            <v>0.79166765632839253</v>
          </cell>
          <cell r="Q56">
            <v>8.6504554915528709E-3</v>
          </cell>
        </row>
        <row r="57">
          <cell r="A57" t="str">
            <v>Aruba</v>
          </cell>
          <cell r="B57">
            <v>1.0830039076807072</v>
          </cell>
          <cell r="C57">
            <v>0.95263604569226357</v>
          </cell>
          <cell r="D57">
            <v>0</v>
          </cell>
          <cell r="E57">
            <v>0.13036786198844358</v>
          </cell>
          <cell r="F57">
            <v>0.87962383047386117</v>
          </cell>
          <cell r="G57">
            <v>2.3923161373195709</v>
          </cell>
          <cell r="H57">
            <v>0</v>
          </cell>
          <cell r="I57">
            <v>0</v>
          </cell>
          <cell r="J57">
            <v>0</v>
          </cell>
          <cell r="K57">
            <v>2.0073413382474254</v>
          </cell>
          <cell r="L57">
            <v>2.3923161373195709</v>
          </cell>
          <cell r="M57">
            <v>5.2608457110336815</v>
          </cell>
          <cell r="N57">
            <v>14.031458531935176</v>
          </cell>
          <cell r="O57">
            <v>0.47996308817683037</v>
          </cell>
          <cell r="P57">
            <v>0.86572413769996781</v>
          </cell>
          <cell r="Q57">
            <v>0.24127676815119031</v>
          </cell>
        </row>
        <row r="58">
          <cell r="A58" t="str">
            <v>Bahamas</v>
          </cell>
          <cell r="B58">
            <v>7.5674507528223769</v>
          </cell>
          <cell r="C58">
            <v>7.4256876071944387</v>
          </cell>
          <cell r="D58">
            <v>0</v>
          </cell>
          <cell r="E58">
            <v>0.1417631456279379</v>
          </cell>
          <cell r="F58">
            <v>0.98126672372792567</v>
          </cell>
          <cell r="G58">
            <v>13.025874775347917</v>
          </cell>
          <cell r="H58">
            <v>0</v>
          </cell>
          <cell r="I58">
            <v>2.3466553002047297</v>
          </cell>
          <cell r="J58">
            <v>11.090152854335686</v>
          </cell>
          <cell r="K58">
            <v>2.493548736246979</v>
          </cell>
          <cell r="L58">
            <v>15.372530075552646</v>
          </cell>
          <cell r="M58">
            <v>37.711380556616369</v>
          </cell>
          <cell r="N58">
            <v>14.031458531935176</v>
          </cell>
          <cell r="O58">
            <v>0.47996308817683037</v>
          </cell>
          <cell r="P58">
            <v>7.3311788434424798</v>
          </cell>
          <cell r="Q58">
            <v>0.82004020553788814</v>
          </cell>
        </row>
        <row r="59">
          <cell r="A59" t="str">
            <v>Bahrain</v>
          </cell>
          <cell r="B59">
            <v>12.818630643859262</v>
          </cell>
          <cell r="C59">
            <v>9.9035637652207527</v>
          </cell>
          <cell r="D59">
            <v>0</v>
          </cell>
          <cell r="E59">
            <v>2.9150668786385086</v>
          </cell>
          <cell r="F59">
            <v>0.7725913976595491</v>
          </cell>
          <cell r="G59">
            <v>1.1886326440866672</v>
          </cell>
          <cell r="H59">
            <v>0</v>
          </cell>
          <cell r="I59">
            <v>7.7712823684907076E-2</v>
          </cell>
          <cell r="J59">
            <v>9.6292997742348937E-2</v>
          </cell>
          <cell r="K59">
            <v>0.81859172082117837</v>
          </cell>
          <cell r="L59">
            <v>1.2663454677715744</v>
          </cell>
          <cell r="M59">
            <v>2.4459190371636907</v>
          </cell>
          <cell r="N59">
            <v>2.6792645556690502</v>
          </cell>
          <cell r="O59">
            <v>0.47996308817683037</v>
          </cell>
          <cell r="P59">
            <v>7.9601858461284136</v>
          </cell>
          <cell r="Q59">
            <v>1.6053543751581547</v>
          </cell>
        </row>
        <row r="60">
          <cell r="A60" t="str">
            <v>Barbados</v>
          </cell>
          <cell r="B60">
            <v>4.7927919009162316</v>
          </cell>
          <cell r="C60">
            <v>4.6934588361797722</v>
          </cell>
          <cell r="D60">
            <v>0</v>
          </cell>
          <cell r="E60">
            <v>9.933306473645917E-2</v>
          </cell>
          <cell r="F60">
            <v>0.97927448827530561</v>
          </cell>
          <cell r="G60">
            <v>7.1637948004065679</v>
          </cell>
          <cell r="H60">
            <v>0</v>
          </cell>
          <cell r="I60">
            <v>6.7310540569548074</v>
          </cell>
          <cell r="J60">
            <v>4.65234739282762</v>
          </cell>
          <cell r="K60">
            <v>3.1691441921362671</v>
          </cell>
          <cell r="L60">
            <v>13.894848857361376</v>
          </cell>
          <cell r="M60">
            <v>34.017177511138193</v>
          </cell>
          <cell r="N60">
            <v>25.326530612244898</v>
          </cell>
          <cell r="O60">
            <v>0.47996308817683037</v>
          </cell>
          <cell r="P60">
            <v>4.6272367930221332</v>
          </cell>
          <cell r="Q60">
            <v>2.145785584697153</v>
          </cell>
        </row>
        <row r="61">
          <cell r="A61" t="str">
            <v>Belize</v>
          </cell>
          <cell r="B61">
            <v>0.96228953856820065</v>
          </cell>
          <cell r="C61">
            <v>0.92373045597548575</v>
          </cell>
          <cell r="D61">
            <v>0</v>
          </cell>
          <cell r="E61">
            <v>3.855908259271492E-2</v>
          </cell>
          <cell r="F61">
            <v>0.95992985370069872</v>
          </cell>
          <cell r="G61">
            <v>6.9944164581853387</v>
          </cell>
          <cell r="H61">
            <v>0</v>
          </cell>
          <cell r="I61">
            <v>0.19242660335646011</v>
          </cell>
          <cell r="J61">
            <v>0.52273449757673773</v>
          </cell>
          <cell r="K61">
            <v>5.8907579015650278</v>
          </cell>
          <cell r="L61">
            <v>7.1868430615417989</v>
          </cell>
          <cell r="M61">
            <v>17.247163021589252</v>
          </cell>
          <cell r="N61">
            <v>14.031458531935176</v>
          </cell>
          <cell r="O61">
            <v>0.47996308817683037</v>
          </cell>
          <cell r="P61">
            <v>0.89802440091367575</v>
          </cell>
          <cell r="Q61">
            <v>-1.8547049554088986E-2</v>
          </cell>
        </row>
        <row r="62">
          <cell r="A62" t="str">
            <v>Bermuda</v>
          </cell>
          <cell r="B62">
            <v>25.438024032487199</v>
          </cell>
          <cell r="C62">
            <v>24.545618103452078</v>
          </cell>
          <cell r="D62">
            <v>0</v>
          </cell>
          <cell r="E62">
            <v>0.89240592903512039</v>
          </cell>
          <cell r="F62">
            <v>0.96491842574346898</v>
          </cell>
          <cell r="G62">
            <v>0.57155258740431214</v>
          </cell>
          <cell r="H62">
            <v>0</v>
          </cell>
          <cell r="I62">
            <v>7.6372538589736259</v>
          </cell>
          <cell r="J62">
            <v>1.6319218643375801</v>
          </cell>
          <cell r="K62">
            <v>1.3040578882868976</v>
          </cell>
          <cell r="L62">
            <v>8.2088064463779382</v>
          </cell>
          <cell r="M62">
            <v>19.802071483679597</v>
          </cell>
          <cell r="N62">
            <v>1.3093313739897134</v>
          </cell>
          <cell r="O62">
            <v>0.47996308817683037</v>
          </cell>
          <cell r="P62">
            <v>23.950680817428665</v>
          </cell>
          <cell r="Q62">
            <v>64.707001886643411</v>
          </cell>
        </row>
        <row r="63">
          <cell r="A63" t="str">
            <v>Bonaire</v>
          </cell>
          <cell r="B63">
            <v>0.17335876526209473</v>
          </cell>
          <cell r="C63">
            <v>0.1524905077468249</v>
          </cell>
          <cell r="D63">
            <v>0</v>
          </cell>
          <cell r="E63">
            <v>2.0868257515269825E-2</v>
          </cell>
          <cell r="F63">
            <v>0.87962386854959496</v>
          </cell>
          <cell r="G63">
            <v>2.3923168940243364</v>
          </cell>
          <cell r="H63">
            <v>0</v>
          </cell>
          <cell r="I63">
            <v>0</v>
          </cell>
          <cell r="J63">
            <v>0</v>
          </cell>
          <cell r="K63">
            <v>2.2408844651324529</v>
          </cell>
          <cell r="L63">
            <v>2.3923168940243364</v>
          </cell>
          <cell r="M63">
            <v>5.2608476027955957</v>
          </cell>
          <cell r="N63">
            <v>14.031458531935176</v>
          </cell>
          <cell r="O63">
            <v>0.47996308817683037</v>
          </cell>
          <cell r="P63">
            <v>0.13857833606997835</v>
          </cell>
        </row>
        <row r="64">
          <cell r="A64" t="str">
            <v>BVI</v>
          </cell>
          <cell r="B64">
            <v>29.125071697810739</v>
          </cell>
          <cell r="C64">
            <v>29.078139371166927</v>
          </cell>
          <cell r="D64">
            <v>0</v>
          </cell>
          <cell r="E64">
            <v>4.6932326643812639E-2</v>
          </cell>
          <cell r="F64">
            <v>0.99838859360997423</v>
          </cell>
          <cell r="G64">
            <v>2.3923257034784351</v>
          </cell>
          <cell r="H64">
            <v>0</v>
          </cell>
          <cell r="I64">
            <v>176.31979477004302</v>
          </cell>
          <cell r="J64">
            <v>0</v>
          </cell>
          <cell r="K64">
            <v>203.02408818842605</v>
          </cell>
          <cell r="L64">
            <v>178.71212047352145</v>
          </cell>
          <cell r="M64">
            <v>446.06035655153835</v>
          </cell>
          <cell r="N64">
            <v>8.901215805471125</v>
          </cell>
          <cell r="O64">
            <v>0.47996308817683037</v>
          </cell>
          <cell r="P64">
            <v>29.046851153404386</v>
          </cell>
          <cell r="Q64">
            <v>26.831251057190428</v>
          </cell>
        </row>
        <row r="65">
          <cell r="A65" t="str">
            <v>Cayman Islands</v>
          </cell>
          <cell r="B65">
            <v>22.920824144129366</v>
          </cell>
          <cell r="C65">
            <v>22.512935193051696</v>
          </cell>
          <cell r="D65">
            <v>0</v>
          </cell>
          <cell r="E65">
            <v>0.40788895107766843</v>
          </cell>
          <cell r="F65">
            <v>0.98220443782855249</v>
          </cell>
          <cell r="G65">
            <v>0.75160134279400448</v>
          </cell>
          <cell r="H65">
            <v>0</v>
          </cell>
          <cell r="I65">
            <v>15.430964295292515</v>
          </cell>
          <cell r="J65">
            <v>2.876389513296298</v>
          </cell>
          <cell r="K65">
            <v>1.6922088373792077</v>
          </cell>
          <cell r="L65">
            <v>16.182565638086519</v>
          </cell>
          <cell r="M65">
            <v>39.73646946295105</v>
          </cell>
          <cell r="N65">
            <v>8.901215805471125</v>
          </cell>
          <cell r="O65">
            <v>0.47996308817683037</v>
          </cell>
          <cell r="P65">
            <v>22.241009225666584</v>
          </cell>
          <cell r="Q65">
            <v>54.346532662599117</v>
          </cell>
        </row>
        <row r="66">
          <cell r="A66" t="str">
            <v>Curacao</v>
          </cell>
          <cell r="B66">
            <v>11.68734919710977</v>
          </cell>
          <cell r="C66">
            <v>11.296185999728888</v>
          </cell>
          <cell r="D66">
            <v>0</v>
          </cell>
          <cell r="E66">
            <v>0.39116319738088223</v>
          </cell>
          <cell r="F66">
            <v>0.96653105928608563</v>
          </cell>
          <cell r="G66">
            <v>0.33575980655064125</v>
          </cell>
          <cell r="H66">
            <v>0</v>
          </cell>
          <cell r="I66">
            <v>8.2685714559076864</v>
          </cell>
          <cell r="J66">
            <v>1.3268676411786671</v>
          </cell>
          <cell r="K66">
            <v>8.6936233491982904</v>
          </cell>
          <cell r="L66">
            <v>8.6043312624583272</v>
          </cell>
          <cell r="M66">
            <v>20.79088352388057</v>
          </cell>
          <cell r="N66">
            <v>14.031458531935176</v>
          </cell>
          <cell r="O66">
            <v>0.47996308817683037</v>
          </cell>
          <cell r="P66">
            <v>11.0354105348083</v>
          </cell>
          <cell r="Q66">
            <v>10.265996857440456</v>
          </cell>
        </row>
        <row r="67">
          <cell r="A67" t="str">
            <v>Cyprus</v>
          </cell>
          <cell r="B67">
            <v>6.8820083274691735</v>
          </cell>
          <cell r="C67">
            <v>5.2850761004134004</v>
          </cell>
          <cell r="D67">
            <v>0</v>
          </cell>
          <cell r="E67">
            <v>1.5969322270557735</v>
          </cell>
          <cell r="F67">
            <v>0.76795549335770164</v>
          </cell>
          <cell r="G67">
            <v>0.56340199771699795</v>
          </cell>
          <cell r="H67">
            <v>0</v>
          </cell>
          <cell r="I67">
            <v>0.67764377006763776</v>
          </cell>
          <cell r="J67">
            <v>1.0088176835559211E-2</v>
          </cell>
          <cell r="K67">
            <v>0.28675503536078822</v>
          </cell>
          <cell r="L67">
            <v>1.2410457677846358</v>
          </cell>
          <cell r="M67">
            <v>2.3826697871963436</v>
          </cell>
          <cell r="N67">
            <v>14.031458531935176</v>
          </cell>
          <cell r="O67">
            <v>0.47996308817683037</v>
          </cell>
          <cell r="P67">
            <v>4.220454615709551</v>
          </cell>
        </row>
        <row r="68">
          <cell r="A68" t="str">
            <v>Jersey</v>
          </cell>
          <cell r="B68">
            <v>5.5192543961170966</v>
          </cell>
          <cell r="C68">
            <v>5.1556449197022696</v>
          </cell>
          <cell r="D68">
            <v>0</v>
          </cell>
          <cell r="E68">
            <v>0.36360947641482677</v>
          </cell>
          <cell r="F68">
            <v>0.93411981939614286</v>
          </cell>
          <cell r="G68">
            <v>2.3923102518718911</v>
          </cell>
          <cell r="H68">
            <v>0</v>
          </cell>
          <cell r="I68">
            <v>1.978926290992683</v>
          </cell>
          <cell r="J68">
            <v>0</v>
          </cell>
          <cell r="K68">
            <v>2.3866849643048886</v>
          </cell>
          <cell r="L68">
            <v>4.3712365428645743</v>
          </cell>
          <cell r="M68">
            <v>10.208146724896189</v>
          </cell>
          <cell r="N68">
            <v>1.5591216216216208</v>
          </cell>
          <cell r="O68">
            <v>0.47996308817683037</v>
          </cell>
          <cell r="P68">
            <v>4.9132386020923846</v>
          </cell>
          <cell r="Q68">
            <v>6.0919306056908296</v>
          </cell>
        </row>
        <row r="69">
          <cell r="A69" t="str">
            <v>Grenada</v>
          </cell>
          <cell r="B69">
            <v>0.4015897418869116</v>
          </cell>
          <cell r="C69">
            <v>0.38030614888924363</v>
          </cell>
          <cell r="D69">
            <v>0</v>
          </cell>
          <cell r="E69">
            <v>2.1283592997667938E-2</v>
          </cell>
          <cell r="F69">
            <v>0.94700165174124029</v>
          </cell>
          <cell r="G69">
            <v>5.1857999974895419</v>
          </cell>
          <cell r="H69">
            <v>0</v>
          </cell>
          <cell r="I69">
            <v>0.2479137382682656</v>
          </cell>
          <cell r="J69">
            <v>0</v>
          </cell>
          <cell r="K69">
            <v>4.929247734116557</v>
          </cell>
          <cell r="L69">
            <v>5.4337137357578067</v>
          </cell>
          <cell r="M69">
            <v>12.864339707129272</v>
          </cell>
          <cell r="N69">
            <v>1.5591216216216208</v>
          </cell>
          <cell r="O69">
            <v>0.47996308817683037</v>
          </cell>
          <cell r="P69">
            <v>0.36611708689079836</v>
          </cell>
          <cell r="Q69">
            <v>1.5644565335773208E-4</v>
          </cell>
        </row>
        <row r="70">
          <cell r="A70" t="str">
            <v>Guernsey</v>
          </cell>
          <cell r="B70">
            <v>2.0311467085553057</v>
          </cell>
          <cell r="C70">
            <v>1.7866451600802939</v>
          </cell>
          <cell r="D70">
            <v>0</v>
          </cell>
          <cell r="E70">
            <v>0.24450154847501168</v>
          </cell>
          <cell r="F70">
            <v>0.87962388563802052</v>
          </cell>
          <cell r="G70">
            <v>2.3923172336343113</v>
          </cell>
          <cell r="H70">
            <v>0</v>
          </cell>
          <cell r="I70">
            <v>0</v>
          </cell>
          <cell r="J70">
            <v>0</v>
          </cell>
          <cell r="K70">
            <v>4.416005410082767</v>
          </cell>
          <cell r="L70">
            <v>2.3923172336343113</v>
          </cell>
          <cell r="M70">
            <v>5.2608484518205323</v>
          </cell>
          <cell r="N70">
            <v>1.5591216216216208</v>
          </cell>
          <cell r="O70">
            <v>0.47996308817683037</v>
          </cell>
          <cell r="P70">
            <v>1.6236441277636195</v>
          </cell>
          <cell r="Q70">
            <v>2.1409007013652608</v>
          </cell>
        </row>
        <row r="71">
          <cell r="A71" t="str">
            <v>Gibraltar</v>
          </cell>
          <cell r="B71">
            <v>1.0873325907085956</v>
          </cell>
          <cell r="C71">
            <v>0.95644320082853906</v>
          </cell>
          <cell r="D71">
            <v>0</v>
          </cell>
          <cell r="E71">
            <v>0.13088938988005652</v>
          </cell>
          <cell r="F71">
            <v>0.87962340961861707</v>
          </cell>
          <cell r="G71">
            <v>2.3923077734110332</v>
          </cell>
          <cell r="H71">
            <v>0</v>
          </cell>
          <cell r="I71">
            <v>0</v>
          </cell>
          <cell r="J71">
            <v>4.2739569276131757</v>
          </cell>
          <cell r="K71">
            <v>4.2739569276131757</v>
          </cell>
          <cell r="L71">
            <v>2.3923077734110332</v>
          </cell>
          <cell r="M71">
            <v>5.2608248012623369</v>
          </cell>
          <cell r="N71">
            <v>1.5591216216216208</v>
          </cell>
          <cell r="O71">
            <v>0.47996308817683037</v>
          </cell>
          <cell r="P71">
            <v>0.86918360757516799</v>
          </cell>
          <cell r="Q71">
            <v>2.9267442283957052</v>
          </cell>
        </row>
        <row r="72">
          <cell r="A72" t="str">
            <v>Hong Kong</v>
          </cell>
          <cell r="B72">
            <v>95.223967679643692</v>
          </cell>
          <cell r="C72">
            <v>50.356172185286226</v>
          </cell>
          <cell r="D72">
            <v>0</v>
          </cell>
          <cell r="E72">
            <v>44.867795494357466</v>
          </cell>
          <cell r="F72">
            <v>0.52881825250861725</v>
          </cell>
          <cell r="G72">
            <v>0.63150559253260896</v>
          </cell>
          <cell r="H72">
            <v>0</v>
          </cell>
          <cell r="I72">
            <v>0.18189477545245697</v>
          </cell>
          <cell r="J72">
            <v>0</v>
          </cell>
          <cell r="K72">
            <v>0.26079690122761051</v>
          </cell>
          <cell r="L72">
            <v>0.81340036798506599</v>
          </cell>
          <cell r="M72">
            <v>2.1348906384735855</v>
          </cell>
          <cell r="N72">
            <v>0.84049435164622965</v>
          </cell>
          <cell r="O72">
            <v>0.47996308817683037</v>
          </cell>
          <cell r="P72">
            <v>39.035168909870336</v>
          </cell>
          <cell r="Q72">
            <v>45.913366784824078</v>
          </cell>
        </row>
        <row r="73">
          <cell r="A73" t="str">
            <v>Isle of man</v>
          </cell>
          <cell r="B73">
            <v>3.6449297805671903</v>
          </cell>
          <cell r="C73">
            <v>3.2907256608282767</v>
          </cell>
          <cell r="D73">
            <v>0</v>
          </cell>
          <cell r="E73">
            <v>0.35420411973891358</v>
          </cell>
          <cell r="F73">
            <v>0.90282278642860558</v>
          </cell>
          <cell r="G73">
            <v>2.3923324900643919</v>
          </cell>
          <cell r="H73">
            <v>0</v>
          </cell>
          <cell r="I73">
            <v>0.57109733388837935</v>
          </cell>
          <cell r="J73">
            <v>0</v>
          </cell>
          <cell r="K73">
            <v>2.2040664276187067</v>
          </cell>
          <cell r="L73">
            <v>2.9634298239527714</v>
          </cell>
          <cell r="M73">
            <v>6.6886299276166827</v>
          </cell>
          <cell r="N73">
            <v>1.5591216216216208</v>
          </cell>
          <cell r="O73">
            <v>0.47996308817683037</v>
          </cell>
          <cell r="P73">
            <v>3.0545895810023342</v>
          </cell>
          <cell r="Q73">
            <v>1.8502867557709928</v>
          </cell>
        </row>
        <row r="74">
          <cell r="A74" t="str">
            <v>Lebanon</v>
          </cell>
          <cell r="B74">
            <v>15.231019080376919</v>
          </cell>
          <cell r="C74">
            <v>10.848362353703763</v>
          </cell>
          <cell r="D74">
            <v>0</v>
          </cell>
          <cell r="E74">
            <v>4.3826567266731562</v>
          </cell>
          <cell r="F74">
            <v>0.71225453112854353</v>
          </cell>
          <cell r="G74">
            <v>0.9963546335773581</v>
          </cell>
          <cell r="H74">
            <v>0</v>
          </cell>
          <cell r="I74">
            <v>4.4529691819596828E-3</v>
          </cell>
          <cell r="J74">
            <v>0</v>
          </cell>
          <cell r="K74">
            <v>0.71639470578797615</v>
          </cell>
          <cell r="L74">
            <v>1.0008076027593178</v>
          </cell>
          <cell r="M74">
            <v>1.7820743746330485</v>
          </cell>
          <cell r="N74">
            <v>2.6792645556690502</v>
          </cell>
          <cell r="O74">
            <v>0.47996308817683037</v>
          </cell>
          <cell r="P74">
            <v>7.9265912025883249</v>
          </cell>
          <cell r="Q74">
            <v>-0.18174921279884765</v>
          </cell>
        </row>
        <row r="75">
          <cell r="A75" t="str">
            <v>Liechtenstein</v>
          </cell>
          <cell r="B75">
            <v>1.3847476300640333</v>
          </cell>
          <cell r="C75">
            <v>0.54431306414287628</v>
          </cell>
          <cell r="D75">
            <v>0</v>
          </cell>
          <cell r="E75">
            <v>0.84043456592115706</v>
          </cell>
          <cell r="F75">
            <v>0.3930774477062699</v>
          </cell>
          <cell r="G75">
            <v>0.47448863420505527</v>
          </cell>
          <cell r="H75">
            <v>0</v>
          </cell>
          <cell r="I75">
            <v>0</v>
          </cell>
          <cell r="J75">
            <v>0.41564747945609143</v>
          </cell>
          <cell r="K75">
            <v>0.41564747945609143</v>
          </cell>
          <cell r="L75">
            <v>0.47448863420505527</v>
          </cell>
          <cell r="M75">
            <v>0.4662769532473926</v>
          </cell>
          <cell r="N75">
            <v>1.5591216216216208</v>
          </cell>
          <cell r="O75">
            <v>0.47996308817683037</v>
          </cell>
          <cell r="P75">
            <v>-1.5976646471228539E-2</v>
          </cell>
          <cell r="Q75">
            <v>-0.68212553462794911</v>
          </cell>
        </row>
        <row r="76">
          <cell r="A76" t="str">
            <v>Macau</v>
          </cell>
          <cell r="B76">
            <v>13.856227663292829</v>
          </cell>
          <cell r="C76">
            <v>10.807557501271878</v>
          </cell>
          <cell r="D76">
            <v>0</v>
          </cell>
          <cell r="E76">
            <v>3.0486701620209504</v>
          </cell>
          <cell r="F76">
            <v>0.77997834359366636</v>
          </cell>
          <cell r="G76">
            <v>1.2806878724255955</v>
          </cell>
          <cell r="H76">
            <v>0</v>
          </cell>
          <cell r="I76">
            <v>9.0862784167046753E-2</v>
          </cell>
          <cell r="J76">
            <v>0</v>
          </cell>
          <cell r="K76">
            <v>0.40789704226304274</v>
          </cell>
          <cell r="L76">
            <v>1.3715506565926423</v>
          </cell>
          <cell r="M76">
            <v>2.8814656487379704</v>
          </cell>
          <cell r="N76">
            <v>1.7827897293546149</v>
          </cell>
          <cell r="O76">
            <v>0.47996308817683037</v>
          </cell>
          <cell r="P76">
            <v>9.0073525686775824</v>
          </cell>
        </row>
        <row r="77">
          <cell r="A77" t="str">
            <v>Malta</v>
          </cell>
          <cell r="B77">
            <v>13.646495114506827</v>
          </cell>
          <cell r="C77">
            <v>12.855054220700584</v>
          </cell>
          <cell r="D77">
            <v>0</v>
          </cell>
          <cell r="E77">
            <v>0.79144089380624261</v>
          </cell>
          <cell r="F77">
            <v>0.94200409063533785</v>
          </cell>
          <cell r="G77">
            <v>0.84886667394397175</v>
          </cell>
          <cell r="H77">
            <v>0</v>
          </cell>
          <cell r="I77">
            <v>4.1166189277279255</v>
          </cell>
          <cell r="J77">
            <v>0.10949868880580196</v>
          </cell>
          <cell r="K77">
            <v>4.568009059959997</v>
          </cell>
          <cell r="L77">
            <v>4.9654856016718973</v>
          </cell>
          <cell r="M77">
            <v>11.693769371914497</v>
          </cell>
          <cell r="N77">
            <v>1.7827897293546149</v>
          </cell>
          <cell r="O77">
            <v>0.47996308817683037</v>
          </cell>
          <cell r="P77">
            <v>12.327426958163089</v>
          </cell>
        </row>
        <row r="78">
          <cell r="A78" t="str">
            <v>Marshall Islands</v>
          </cell>
          <cell r="B78">
            <v>3.4329997064598869E-2</v>
          </cell>
          <cell r="C78">
            <v>1.0287836568069537E-2</v>
          </cell>
          <cell r="D78">
            <v>0</v>
          </cell>
          <cell r="E78">
            <v>2.4042160496529331E-2</v>
          </cell>
          <cell r="F78">
            <v>0.29967484555011414</v>
          </cell>
          <cell r="G78">
            <v>0.41120592495682723</v>
          </cell>
          <cell r="H78">
            <v>0</v>
          </cell>
          <cell r="I78">
            <v>0</v>
          </cell>
          <cell r="J78">
            <v>5.773884167235698</v>
          </cell>
          <cell r="K78">
            <v>-2.2838462712650887</v>
          </cell>
          <cell r="L78">
            <v>0.41120592495682723</v>
          </cell>
          <cell r="M78">
            <v>0.30807018012682247</v>
          </cell>
          <cell r="N78">
            <v>1.7827897293546149</v>
          </cell>
          <cell r="O78">
            <v>0.47996308817683037</v>
          </cell>
          <cell r="P78">
            <v>-5.7402704296166882E-3</v>
          </cell>
        </row>
        <row r="79">
          <cell r="A79" t="str">
            <v>Monaco</v>
          </cell>
          <cell r="B79">
            <v>2.4865786089930788</v>
          </cell>
          <cell r="C79">
            <v>2.1872544286824804</v>
          </cell>
          <cell r="D79">
            <v>0</v>
          </cell>
          <cell r="E79">
            <v>0.29932418031059849</v>
          </cell>
          <cell r="F79">
            <v>0.87962408297568062</v>
          </cell>
          <cell r="G79">
            <v>2.3923211554676529</v>
          </cell>
          <cell r="H79">
            <v>0</v>
          </cell>
          <cell r="I79">
            <v>0</v>
          </cell>
          <cell r="J79">
            <v>0</v>
          </cell>
          <cell r="K79">
            <v>0</v>
          </cell>
          <cell r="L79">
            <v>2.3923211554676529</v>
          </cell>
          <cell r="M79">
            <v>5.2608582564038873</v>
          </cell>
          <cell r="N79">
            <v>1.7827897293546149</v>
          </cell>
          <cell r="O79">
            <v>0.47996308817683037</v>
          </cell>
          <cell r="P79">
            <v>1.9877049751420814</v>
          </cell>
        </row>
        <row r="80">
          <cell r="A80" t="str">
            <v>Sint Maarten</v>
          </cell>
          <cell r="B80">
            <v>0.34823567512391918</v>
          </cell>
          <cell r="C80">
            <v>0.30679422220146713</v>
          </cell>
          <cell r="D80">
            <v>0</v>
          </cell>
          <cell r="E80">
            <v>4.1441452922452063E-2</v>
          </cell>
          <cell r="F80">
            <v>0.88099595795949059</v>
          </cell>
          <cell r="G80">
            <v>2.3923120916012683</v>
          </cell>
          <cell r="H80">
            <v>0</v>
          </cell>
          <cell r="I80">
            <v>2.7587669518353539E-2</v>
          </cell>
          <cell r="J80">
            <v>0</v>
          </cell>
          <cell r="K80">
            <v>2.1061608509370675</v>
          </cell>
          <cell r="L80">
            <v>2.4198997611196216</v>
          </cell>
          <cell r="M80">
            <v>5.3298047705338094</v>
          </cell>
          <cell r="N80">
            <v>14.031458531935176</v>
          </cell>
          <cell r="O80">
            <v>0.47996308817683037</v>
          </cell>
          <cell r="P80">
            <v>0.27916658691983243</v>
          </cell>
          <cell r="Q80">
            <v>1.9198672965513267E-2</v>
          </cell>
        </row>
        <row r="81">
          <cell r="A81" t="str">
            <v>Mauritius</v>
          </cell>
          <cell r="B81">
            <v>7.4441225761320906</v>
          </cell>
          <cell r="C81">
            <v>7.360135250471358</v>
          </cell>
          <cell r="D81">
            <v>0</v>
          </cell>
          <cell r="E81">
            <v>8.3987325660732859E-2</v>
          </cell>
          <cell r="F81">
            <v>0.98871763262872392</v>
          </cell>
          <cell r="G81">
            <v>18.781767953473743</v>
          </cell>
          <cell r="H81">
            <v>0</v>
          </cell>
          <cell r="I81">
            <v>1.7209382714135832</v>
          </cell>
          <cell r="J81">
            <v>0</v>
          </cell>
          <cell r="K81">
            <v>19.347816111710308</v>
          </cell>
          <cell r="L81">
            <v>20.502706224887326</v>
          </cell>
          <cell r="M81">
            <v>39.130309305916256</v>
          </cell>
          <cell r="N81">
            <v>1.7827897293546149</v>
          </cell>
          <cell r="O81">
            <v>0.47996308817683037</v>
          </cell>
          <cell r="P81">
            <v>7.2698575780768468</v>
          </cell>
          <cell r="Q81">
            <v>4.7879055505495174</v>
          </cell>
        </row>
        <row r="82">
          <cell r="A82" t="str">
            <v>Seychelles</v>
          </cell>
          <cell r="B82">
            <v>0.82419693736547761</v>
          </cell>
          <cell r="C82">
            <v>0.80997916157337257</v>
          </cell>
          <cell r="D82">
            <v>0</v>
          </cell>
          <cell r="E82">
            <v>1.4217775792105054E-2</v>
          </cell>
          <cell r="F82">
            <v>0.98274954061640685</v>
          </cell>
          <cell r="G82">
            <v>11.645447640290138</v>
          </cell>
          <cell r="H82">
            <v>0</v>
          </cell>
          <cell r="I82">
            <v>0.1556292966812485</v>
          </cell>
          <cell r="J82">
            <v>0</v>
          </cell>
          <cell r="K82">
            <v>10.570874760866056</v>
          </cell>
          <cell r="L82">
            <v>11.801076936971386</v>
          </cell>
          <cell r="M82">
            <v>20.139627543599083</v>
          </cell>
          <cell r="N82">
            <v>1.7827897293546149</v>
          </cell>
          <cell r="O82">
            <v>0.47996308817683037</v>
          </cell>
          <cell r="P82">
            <v>0.79067591979762319</v>
          </cell>
          <cell r="Q82">
            <v>-0.22085464569207053</v>
          </cell>
        </row>
        <row r="83">
          <cell r="A83" t="str">
            <v>Singapore</v>
          </cell>
          <cell r="B83">
            <v>120.07387384516201</v>
          </cell>
          <cell r="C83">
            <v>90.279312540155431</v>
          </cell>
          <cell r="D83">
            <v>0</v>
          </cell>
          <cell r="E83">
            <v>29.794561305006578</v>
          </cell>
          <cell r="F83">
            <v>0.75186474500333567</v>
          </cell>
          <cell r="G83">
            <v>0.62387923338851881</v>
          </cell>
          <cell r="H83">
            <v>0</v>
          </cell>
          <cell r="I83">
            <v>0.5366888322415323</v>
          </cell>
          <cell r="J83">
            <v>0.15643459965113188</v>
          </cell>
          <cell r="K83">
            <v>0.1945074374074523</v>
          </cell>
          <cell r="L83">
            <v>1.1605680656300512</v>
          </cell>
          <cell r="M83">
            <v>2.1814755318098822</v>
          </cell>
          <cell r="N83">
            <v>1.7827897293546149</v>
          </cell>
          <cell r="O83">
            <v>0.47996308817683037</v>
          </cell>
          <cell r="P83">
            <v>70.416271670151048</v>
          </cell>
          <cell r="Q83">
            <v>57.757118942013605</v>
          </cell>
        </row>
        <row r="84">
          <cell r="A84" t="str">
            <v>St. Kitts and Nevis</v>
          </cell>
          <cell r="B84">
            <v>0.47270768679271868</v>
          </cell>
          <cell r="C84">
            <v>0.45147281043247117</v>
          </cell>
          <cell r="D84">
            <v>0</v>
          </cell>
          <cell r="E84">
            <v>2.1234876360247523E-2</v>
          </cell>
          <cell r="F84">
            <v>0.95507820804792842</v>
          </cell>
          <cell r="G84">
            <v>6.3166391090861724</v>
          </cell>
          <cell r="H84">
            <v>0</v>
          </cell>
          <cell r="I84">
            <v>9.4010163617608E-2</v>
          </cell>
          <cell r="J84">
            <v>3.059194412415891</v>
          </cell>
          <cell r="K84">
            <v>3.059194412415891</v>
          </cell>
          <cell r="L84">
            <v>6.4106492727037807</v>
          </cell>
          <cell r="M84">
            <v>15.306678549494206</v>
          </cell>
          <cell r="N84">
            <v>1.7827897293546149</v>
          </cell>
          <cell r="O84">
            <v>0.47996308817683037</v>
          </cell>
          <cell r="P84">
            <v>0.43731622619230615</v>
          </cell>
          <cell r="Q84">
            <v>6.3020096796338534E-3</v>
          </cell>
        </row>
        <row r="85">
          <cell r="A85" t="str">
            <v>St. Lucia</v>
          </cell>
          <cell r="B85">
            <v>0.98185335484198899</v>
          </cell>
          <cell r="C85">
            <v>0.94866880291806055</v>
          </cell>
          <cell r="D85">
            <v>0</v>
          </cell>
          <cell r="E85">
            <v>3.318455192392842E-2</v>
          </cell>
          <cell r="F85">
            <v>0.96620213012434131</v>
          </cell>
          <cell r="G85">
            <v>7.7912383165560453</v>
          </cell>
          <cell r="H85">
            <v>0</v>
          </cell>
          <cell r="I85">
            <v>0.72935348303251801</v>
          </cell>
          <cell r="J85">
            <v>0</v>
          </cell>
          <cell r="K85">
            <v>7.5986581217109093</v>
          </cell>
          <cell r="L85">
            <v>8.5205917995885638</v>
          </cell>
          <cell r="M85">
            <v>20.581534866706164</v>
          </cell>
          <cell r="N85">
            <v>1.7827897293546149</v>
          </cell>
          <cell r="O85">
            <v>0.47996308817683037</v>
          </cell>
          <cell r="P85">
            <v>0.92654576830210822</v>
          </cell>
          <cell r="Q85">
            <v>6.3313579401717409E-3</v>
          </cell>
        </row>
        <row r="86">
          <cell r="A86" t="str">
            <v>St. Vincent and the Grenadines</v>
          </cell>
          <cell r="B86">
            <v>0.4096430975806486</v>
          </cell>
          <cell r="C86">
            <v>0.38835723070985412</v>
          </cell>
          <cell r="D86">
            <v>0</v>
          </cell>
          <cell r="E86">
            <v>2.1285866870794486E-2</v>
          </cell>
          <cell r="F86">
            <v>0.94803801895721229</v>
          </cell>
          <cell r="G86">
            <v>5.2762611763764227</v>
          </cell>
          <cell r="H86">
            <v>0</v>
          </cell>
          <cell r="I86">
            <v>0.26582646398827259</v>
          </cell>
          <cell r="J86">
            <v>0</v>
          </cell>
          <cell r="K86">
            <v>5.0219795332999517</v>
          </cell>
          <cell r="L86">
            <v>5.5420876403646959</v>
          </cell>
          <cell r="M86">
            <v>13.135274468646493</v>
          </cell>
          <cell r="N86">
            <v>1.7827897293546149</v>
          </cell>
          <cell r="O86">
            <v>0.47996308817683037</v>
          </cell>
          <cell r="P86">
            <v>0.37416665279599115</v>
          </cell>
          <cell r="Q86">
            <v>-4.750387108205025E-4</v>
          </cell>
        </row>
        <row r="87">
          <cell r="A87" t="str">
            <v>Turks and Caicos</v>
          </cell>
          <cell r="B87">
            <v>0.29994738122448317</v>
          </cell>
          <cell r="C87">
            <v>0.26699033180435056</v>
          </cell>
          <cell r="D87">
            <v>0</v>
          </cell>
          <cell r="E87">
            <v>3.2957049420132598E-2</v>
          </cell>
          <cell r="F87">
            <v>0.89012389677952453</v>
          </cell>
          <cell r="G87">
            <v>2.3923188641786157</v>
          </cell>
          <cell r="H87">
            <v>0</v>
          </cell>
          <cell r="I87">
            <v>0.22861366314488285</v>
          </cell>
          <cell r="J87">
            <v>0</v>
          </cell>
          <cell r="K87">
            <v>0</v>
          </cell>
          <cell r="L87">
            <v>2.6209325273234985</v>
          </cell>
          <cell r="M87">
            <v>5.8323866860435007</v>
          </cell>
          <cell r="N87">
            <v>1.7827897293546149</v>
          </cell>
          <cell r="O87">
            <v>0.47996308817683037</v>
          </cell>
          <cell r="P87">
            <v>0.24501896552426217</v>
          </cell>
        </row>
        <row r="88">
          <cell r="A88" t="str">
            <v>Panama</v>
          </cell>
          <cell r="B88">
            <v>21.839627936803055</v>
          </cell>
          <cell r="C88">
            <v>17.861321218110369</v>
          </cell>
          <cell r="D88">
            <v>0</v>
          </cell>
          <cell r="E88">
            <v>3.9783067186926862</v>
          </cell>
          <cell r="F88">
            <v>0.81783999570850563</v>
          </cell>
          <cell r="G88">
            <v>2.1187821699792249</v>
          </cell>
          <cell r="H88">
            <v>0</v>
          </cell>
          <cell r="I88">
            <v>8.1573745132373331E-3</v>
          </cell>
          <cell r="J88">
            <v>0</v>
          </cell>
          <cell r="K88">
            <v>1.3958379286306488</v>
          </cell>
          <cell r="L88">
            <v>2.1269395444924624</v>
          </cell>
          <cell r="M88">
            <v>9.0239520350742346</v>
          </cell>
          <cell r="N88">
            <v>1.7827897293546149</v>
          </cell>
          <cell r="O88">
            <v>0.47996308817683037</v>
          </cell>
          <cell r="P88">
            <v>16.911318951094543</v>
          </cell>
          <cell r="Q88">
            <v>1.5537643852680654</v>
          </cell>
        </row>
        <row r="89">
          <cell r="A89" t="str">
            <v>Puerto Rico</v>
          </cell>
          <cell r="B89">
            <v>52.764834331533464</v>
          </cell>
          <cell r="C89">
            <v>42.913042812221541</v>
          </cell>
          <cell r="D89">
            <v>0</v>
          </cell>
          <cell r="E89">
            <v>9.8517915193119219</v>
          </cell>
          <cell r="F89">
            <v>0.81328868660117692</v>
          </cell>
          <cell r="G89">
            <v>2.2852999866399926</v>
          </cell>
          <cell r="H89">
            <v>0</v>
          </cell>
          <cell r="I89">
            <v>0</v>
          </cell>
          <cell r="J89">
            <v>0</v>
          </cell>
          <cell r="K89">
            <v>0</v>
          </cell>
          <cell r="L89">
            <v>2.2852999866399926</v>
          </cell>
          <cell r="M89">
            <v>16.745534629218685</v>
          </cell>
          <cell r="N89">
            <v>14.031458531935176</v>
          </cell>
          <cell r="O89">
            <v>0.47996308817683037</v>
          </cell>
          <cell r="P89">
            <v>41.683062581236264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D10">
            <v>8.7955518821850003</v>
          </cell>
        </row>
        <row r="91">
          <cell r="L91">
            <v>30480.220454012335</v>
          </cell>
        </row>
      </sheetData>
      <sheetData sheetId="18" refreshError="1"/>
      <sheetData sheetId="19" refreshError="1"/>
      <sheetData sheetId="20" refreshError="1"/>
      <sheetData sheetId="21" refreshError="1"/>
      <sheetData sheetId="22" refreshError="1"/>
      <sheetData sheetId="23" refreshError="1"/>
      <sheetData sheetId="24" refreshError="1">
        <row r="54">
          <cell r="S54">
            <v>187.024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1"/>
      <sheetName val="Table 2"/>
      <sheetName val="Table 3"/>
      <sheetName val="DataF1-3"/>
      <sheetName val="Chart4"/>
      <sheetName val="Chart5"/>
      <sheetName val="Chart6"/>
      <sheetName val="DataF4"/>
      <sheetName val="Chart7"/>
      <sheetName val="Backup tables"/>
      <sheetName val="Table U1"/>
      <sheetName val="Select updated tables from TWZ&gt;"/>
      <sheetName val="TableB10"/>
      <sheetName val="TableB11"/>
      <sheetName val="TableC1"/>
      <sheetName val="TableC2"/>
      <sheetName val="TableC3"/>
      <sheetName val="TableC4"/>
      <sheetName val="TableC4b"/>
      <sheetName val="TableC4c"/>
      <sheetName val="TableC4d"/>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ow r="4">
          <cell r="B4" t="str">
            <v>Table C4d: Lost tax revenue due to profit shifting</v>
          </cell>
        </row>
        <row r="5">
          <cell r="C5" t="str">
            <v>[1]</v>
          </cell>
          <cell r="D5" t="str">
            <v>[2]</v>
          </cell>
          <cell r="E5" t="str">
            <v>[3]</v>
          </cell>
          <cell r="F5" t="str">
            <v>[4]</v>
          </cell>
          <cell r="G5" t="str">
            <v>[5]</v>
          </cell>
          <cell r="H5" t="str">
            <v>[6]</v>
          </cell>
          <cell r="I5" t="str">
            <v>[7]</v>
          </cell>
          <cell r="J5" t="str">
            <v>[8]</v>
          </cell>
          <cell r="K5" t="str">
            <v>[9]</v>
          </cell>
          <cell r="L5" t="str">
            <v>[10]</v>
          </cell>
          <cell r="M5" t="str">
            <v>[11]</v>
          </cell>
          <cell r="N5" t="str">
            <v>[12]</v>
          </cell>
          <cell r="O5" t="str">
            <v>[13]</v>
          </cell>
          <cell r="P5" t="str">
            <v>[14]</v>
          </cell>
        </row>
        <row r="6">
          <cell r="C6" t="str">
            <v>Corporate tax revenue (Bn. USD)</v>
          </cell>
          <cell r="D6" t="str">
            <v xml:space="preserve">Corporate tax rate </v>
          </cell>
          <cell r="E6" t="str">
            <v>Tax losses (billion $US)</v>
          </cell>
          <cell r="K6" t="str">
            <v>Tax losses (% of corp. tax revenue)</v>
          </cell>
        </row>
        <row r="7">
          <cell r="E7" t="str">
            <v>Excessive high risk payments</v>
          </cell>
          <cell r="H7" t="str">
            <v>Ultimate ownership</v>
          </cell>
          <cell r="I7" t="str">
            <v>Benchmark allocation: Excessive high risk payments</v>
          </cell>
          <cell r="K7" t="str">
            <v>Excessive high risk payments</v>
          </cell>
          <cell r="N7" t="str">
            <v>Ultimate ownership</v>
          </cell>
          <cell r="O7" t="str">
            <v>Benchmark allocation: Excessive high risk payments</v>
          </cell>
        </row>
        <row r="8">
          <cell r="E8" t="str">
            <v>All havens</v>
          </cell>
          <cell r="F8" t="str">
            <v>EU havens</v>
          </cell>
          <cell r="G8" t="str">
            <v>Non-EU tax havens</v>
          </cell>
          <cell r="H8" t="str">
            <v>All havens</v>
          </cell>
          <cell r="I8" t="str">
            <v>EU havens</v>
          </cell>
          <cell r="J8" t="str">
            <v>Non-EU tax havens</v>
          </cell>
          <cell r="K8" t="str">
            <v>All havens</v>
          </cell>
          <cell r="L8" t="str">
            <v>EU havens</v>
          </cell>
          <cell r="M8" t="str">
            <v>Non-EU tax havens</v>
          </cell>
          <cell r="N8" t="str">
            <v>All havens</v>
          </cell>
          <cell r="O8" t="str">
            <v>EU havens</v>
          </cell>
          <cell r="P8" t="str">
            <v>Non-EU tax havens</v>
          </cell>
        </row>
        <row r="10">
          <cell r="B10" t="str">
            <v>OECD countries</v>
          </cell>
          <cell r="C10">
            <v>1214.2974138999998</v>
          </cell>
          <cell r="E10">
            <v>149.58246257487588</v>
          </cell>
          <cell r="F10">
            <v>80.467686935037079</v>
          </cell>
          <cell r="G10">
            <v>69.114775639838811</v>
          </cell>
          <cell r="H10">
            <v>200.01699418403945</v>
          </cell>
          <cell r="I10">
            <v>116.24249581401426</v>
          </cell>
          <cell r="J10">
            <v>83.774498370025199</v>
          </cell>
          <cell r="K10">
            <v>0.12318437053609202</v>
          </cell>
          <cell r="L10">
            <v>6.6266868407959714E-2</v>
          </cell>
          <cell r="M10">
            <v>5.6917502128132319E-2</v>
          </cell>
          <cell r="N10">
            <v>0.16471829050647332</v>
          </cell>
          <cell r="O10">
            <v>9.5728191860900314E-2</v>
          </cell>
          <cell r="P10">
            <v>6.8990098645573025E-2</v>
          </cell>
        </row>
        <row r="11">
          <cell r="B11" t="str">
            <v>Australia</v>
          </cell>
          <cell r="C11">
            <v>59.641068259999997</v>
          </cell>
          <cell r="D11">
            <v>0.3</v>
          </cell>
          <cell r="E11">
            <v>4.5560200381390699</v>
          </cell>
          <cell r="F11">
            <v>1.3991357703415688</v>
          </cell>
          <cell r="G11">
            <v>3.1568842677975013</v>
          </cell>
          <cell r="H11">
            <v>0.56826764905342364</v>
          </cell>
          <cell r="I11">
            <v>-5.0409573474918166E-2</v>
          </cell>
          <cell r="J11">
            <v>0.61867722252834179</v>
          </cell>
          <cell r="K11">
            <v>7.6390651124448358E-2</v>
          </cell>
          <cell r="L11">
            <v>2.3459267433677735E-2</v>
          </cell>
          <cell r="M11">
            <v>5.293138369077062E-2</v>
          </cell>
          <cell r="N11">
            <v>9.5281266018930229E-3</v>
          </cell>
          <cell r="O11">
            <v>-8.4521580423680645E-4</v>
          </cell>
          <cell r="P11">
            <v>1.037334240612983E-2</v>
          </cell>
        </row>
        <row r="12">
          <cell r="B12" t="str">
            <v>Austria</v>
          </cell>
          <cell r="C12">
            <v>9.2781076000000002</v>
          </cell>
          <cell r="D12">
            <v>0.25</v>
          </cell>
          <cell r="E12">
            <v>1.0653623749066301</v>
          </cell>
          <cell r="F12">
            <v>0.79675370444671989</v>
          </cell>
          <cell r="G12">
            <v>0.26860867045991021</v>
          </cell>
          <cell r="H12">
            <v>0.60262168119990556</v>
          </cell>
          <cell r="I12">
            <v>0.10026624961154255</v>
          </cell>
          <cell r="J12">
            <v>0.50235543158836304</v>
          </cell>
          <cell r="K12">
            <v>0.11482539552641426</v>
          </cell>
          <cell r="L12">
            <v>8.5874591974630668E-2</v>
          </cell>
          <cell r="M12">
            <v>2.8950803551783578E-2</v>
          </cell>
          <cell r="N12">
            <v>6.4950926113414076E-2</v>
          </cell>
          <cell r="O12">
            <v>1.08067564997352E-2</v>
          </cell>
          <cell r="P12">
            <v>5.4144169613678877E-2</v>
          </cell>
        </row>
        <row r="13">
          <cell r="B13" t="str">
            <v>Belgium</v>
          </cell>
          <cell r="C13">
            <v>16.171719020000001</v>
          </cell>
        </row>
        <row r="14">
          <cell r="B14" t="str">
            <v>Canada</v>
          </cell>
          <cell r="C14">
            <v>52.785083749999998</v>
          </cell>
          <cell r="D14">
            <v>0.26500000000000001</v>
          </cell>
          <cell r="E14">
            <v>4.0275648643420796</v>
          </cell>
          <cell r="F14">
            <v>1.1755978532377596</v>
          </cell>
          <cell r="G14">
            <v>2.8519670111043203</v>
          </cell>
          <cell r="H14">
            <v>4.7097488928929385</v>
          </cell>
          <cell r="I14">
            <v>1.2355279644753208</v>
          </cell>
          <cell r="J14">
            <v>3.4742209284176178</v>
          </cell>
          <cell r="K14">
            <v>7.6301193030542072E-2</v>
          </cell>
          <cell r="L14">
            <v>2.2271402633471424E-2</v>
          </cell>
          <cell r="M14">
            <v>5.4029790397070655E-2</v>
          </cell>
          <cell r="N14">
            <v>8.9224996121995137E-2</v>
          </cell>
          <cell r="O14">
            <v>2.3406763363813376E-2</v>
          </cell>
          <cell r="P14">
            <v>6.5818232758181758E-2</v>
          </cell>
        </row>
        <row r="15">
          <cell r="B15" t="str">
            <v>Chile</v>
          </cell>
          <cell r="C15">
            <v>10.557020959999999</v>
          </cell>
          <cell r="D15">
            <v>0.24</v>
          </cell>
          <cell r="E15">
            <v>1.2708001585370574</v>
          </cell>
          <cell r="F15">
            <v>0.25139167782193028</v>
          </cell>
          <cell r="G15">
            <v>1.0194084807151271</v>
          </cell>
          <cell r="H15">
            <v>-2.7116159692651989E-2</v>
          </cell>
          <cell r="I15">
            <v>-3.1608573362347611E-2</v>
          </cell>
          <cell r="J15">
            <v>4.4924136696956225E-3</v>
          </cell>
          <cell r="K15">
            <v>0.12037488258781079</v>
          </cell>
          <cell r="L15">
            <v>2.3812747817252632E-2</v>
          </cell>
          <cell r="M15">
            <v>9.6562134770558153E-2</v>
          </cell>
          <cell r="N15">
            <v>-2.5685427541911397E-3</v>
          </cell>
          <cell r="O15">
            <v>-2.9940807621876325E-3</v>
          </cell>
          <cell r="P15">
            <v>4.2553800799649289E-4</v>
          </cell>
        </row>
        <row r="16">
          <cell r="B16" t="str">
            <v>Czech Republic</v>
          </cell>
          <cell r="C16">
            <v>7.31400352</v>
          </cell>
          <cell r="D16">
            <v>0.19</v>
          </cell>
          <cell r="E16">
            <v>0.41424171021056277</v>
          </cell>
          <cell r="F16">
            <v>0.33676275996046973</v>
          </cell>
          <cell r="G16">
            <v>7.7478950250093048E-2</v>
          </cell>
          <cell r="H16">
            <v>9.705791063317025E-2</v>
          </cell>
          <cell r="I16">
            <v>9.7030310112216855E-2</v>
          </cell>
          <cell r="J16">
            <v>2.7600520953394159E-5</v>
          </cell>
          <cell r="K16">
            <v>5.6636793936156428E-2</v>
          </cell>
          <cell r="L16">
            <v>4.6043560006444967E-2</v>
          </cell>
          <cell r="M16">
            <v>1.0593233929711459E-2</v>
          </cell>
          <cell r="N16">
            <v>1.327014819828392E-2</v>
          </cell>
          <cell r="O16">
            <v>1.3266374543967523E-2</v>
          </cell>
          <cell r="P16">
            <v>3.7736543163974523E-6</v>
          </cell>
        </row>
        <row r="17">
          <cell r="B17" t="str">
            <v>Denmark</v>
          </cell>
          <cell r="C17">
            <v>8.2540653099999997</v>
          </cell>
          <cell r="D17">
            <v>0.22</v>
          </cell>
          <cell r="E17">
            <v>0.9845102785070462</v>
          </cell>
          <cell r="F17">
            <v>0.86739058076849507</v>
          </cell>
          <cell r="G17">
            <v>0.11711969773855113</v>
          </cell>
          <cell r="H17">
            <v>0.86506595393027319</v>
          </cell>
          <cell r="I17">
            <v>0.50342239653076803</v>
          </cell>
          <cell r="J17">
            <v>0.36164355739950516</v>
          </cell>
          <cell r="K17">
            <v>0.11927580428934675</v>
          </cell>
          <cell r="L17">
            <v>0.10508646929624248</v>
          </cell>
          <cell r="M17">
            <v>1.4189334993104281E-2</v>
          </cell>
          <cell r="N17">
            <v>0.10480483512557441</v>
          </cell>
          <cell r="O17">
            <v>6.0990842405966868E-2</v>
          </cell>
          <cell r="P17">
            <v>4.3813992719607543E-2</v>
          </cell>
        </row>
        <row r="18">
          <cell r="B18" t="str">
            <v>Estonia</v>
          </cell>
          <cell r="C18">
            <v>0.40832489999999999</v>
          </cell>
          <cell r="D18">
            <v>0.2</v>
          </cell>
          <cell r="E18">
            <v>6.4325191639193896E-2</v>
          </cell>
          <cell r="F18">
            <v>4.8053777494674259E-2</v>
          </cell>
          <cell r="G18">
            <v>1.6271414144519637E-2</v>
          </cell>
          <cell r="H18">
            <v>-8.7746259877232412E-4</v>
          </cell>
          <cell r="I18">
            <v>-8.7746259877232412E-4</v>
          </cell>
          <cell r="J18">
            <v>0</v>
          </cell>
          <cell r="K18">
            <v>0.15753433513164125</v>
          </cell>
          <cell r="L18">
            <v>0.1176851509537485</v>
          </cell>
          <cell r="M18">
            <v>3.9849184177892745E-2</v>
          </cell>
          <cell r="N18">
            <v>-2.1489323790254383E-3</v>
          </cell>
          <cell r="O18">
            <v>-2.1489323790254383E-3</v>
          </cell>
          <cell r="P18">
            <v>0</v>
          </cell>
        </row>
        <row r="19">
          <cell r="B19" t="str">
            <v>Finland</v>
          </cell>
          <cell r="C19">
            <v>5.3073166399999998</v>
          </cell>
          <cell r="D19">
            <v>0.2</v>
          </cell>
          <cell r="E19">
            <v>0.64862882117055964</v>
          </cell>
          <cell r="F19">
            <v>0.51565054861069781</v>
          </cell>
          <cell r="G19">
            <v>0.13297827255986183</v>
          </cell>
          <cell r="H19">
            <v>0.48890500475877446</v>
          </cell>
          <cell r="I19">
            <v>0.44149801248242054</v>
          </cell>
          <cell r="J19">
            <v>4.7406992276353921E-2</v>
          </cell>
          <cell r="K19">
            <v>0.12221408014023442</v>
          </cell>
          <cell r="L19">
            <v>9.7158429313291897E-2</v>
          </cell>
          <cell r="M19">
            <v>2.5055650826942527E-2</v>
          </cell>
          <cell r="N19">
            <v>9.211905712842007E-2</v>
          </cell>
          <cell r="O19">
            <v>8.3186672744368334E-2</v>
          </cell>
          <cell r="P19">
            <v>8.9323843840517347E-3</v>
          </cell>
        </row>
        <row r="20">
          <cell r="B20" t="str">
            <v>France</v>
          </cell>
          <cell r="C20">
            <v>50.183982920000005</v>
          </cell>
          <cell r="D20">
            <v>0.33299999999999996</v>
          </cell>
          <cell r="E20">
            <v>11.988995047305595</v>
          </cell>
          <cell r="F20">
            <v>9.7288172819831384</v>
          </cell>
          <cell r="G20">
            <v>2.2601777653224566</v>
          </cell>
          <cell r="H20">
            <v>23.188341412952703</v>
          </cell>
          <cell r="I20">
            <v>18.328059431262744</v>
          </cell>
          <cell r="J20">
            <v>4.8602819816899583</v>
          </cell>
          <cell r="K20">
            <v>0.23890082750939995</v>
          </cell>
          <cell r="L20">
            <v>0.19386299603784293</v>
          </cell>
          <cell r="M20">
            <v>4.503783147155703E-2</v>
          </cell>
          <cell r="N20">
            <v>0.46206658108261406</v>
          </cell>
          <cell r="O20">
            <v>0.36521731366918658</v>
          </cell>
          <cell r="P20">
            <v>9.6849267413427489E-2</v>
          </cell>
        </row>
        <row r="21">
          <cell r="B21" t="str">
            <v>Germany</v>
          </cell>
          <cell r="C21">
            <v>68.530532560000012</v>
          </cell>
          <cell r="D21">
            <v>0.29719999999999996</v>
          </cell>
          <cell r="E21">
            <v>19.434389596391856</v>
          </cell>
          <cell r="F21">
            <v>15.750904107332417</v>
          </cell>
          <cell r="G21">
            <v>3.6834854890594393</v>
          </cell>
          <cell r="H21">
            <v>11.460393700602934</v>
          </cell>
          <cell r="I21">
            <v>8.1571970789002179</v>
          </cell>
          <cell r="J21">
            <v>3.3031966217027158</v>
          </cell>
          <cell r="K21">
            <v>0.28358731313486601</v>
          </cell>
          <cell r="L21">
            <v>0.22983776017707361</v>
          </cell>
          <cell r="M21">
            <v>5.3749552957792435E-2</v>
          </cell>
          <cell r="N21">
            <v>0.16723047775192909</v>
          </cell>
          <cell r="O21">
            <v>0.1190301136469122</v>
          </cell>
          <cell r="P21">
            <v>4.8200364105016887E-2</v>
          </cell>
        </row>
        <row r="22">
          <cell r="B22" t="str">
            <v>Greece</v>
          </cell>
          <cell r="C22">
            <v>4.8349898000000007</v>
          </cell>
          <cell r="D22">
            <v>0.28999999999999998</v>
          </cell>
          <cell r="E22">
            <v>0.49831239727348497</v>
          </cell>
          <cell r="F22">
            <v>0.39568164440613929</v>
          </cell>
          <cell r="G22">
            <v>0.10263075286734569</v>
          </cell>
          <cell r="H22">
            <v>0.1379028231432991</v>
          </cell>
          <cell r="I22">
            <v>0.13765192076827187</v>
          </cell>
          <cell r="J22">
            <v>2.5090237502722879E-4</v>
          </cell>
          <cell r="K22">
            <v>0.10306379493778557</v>
          </cell>
          <cell r="L22">
            <v>8.1837120815878295E-2</v>
          </cell>
          <cell r="M22">
            <v>2.1226674121907284E-2</v>
          </cell>
          <cell r="N22">
            <v>2.8521843653796144E-2</v>
          </cell>
          <cell r="O22">
            <v>2.8469950602227092E-2</v>
          </cell>
          <cell r="P22">
            <v>5.1893051569049587E-5</v>
          </cell>
        </row>
        <row r="23">
          <cell r="B23" t="str">
            <v>Hungary</v>
          </cell>
          <cell r="C23">
            <v>2.9522952500000001</v>
          </cell>
          <cell r="D23">
            <v>0.19</v>
          </cell>
          <cell r="E23">
            <v>0.69627059782420075</v>
          </cell>
          <cell r="F23">
            <v>0.56687400187248782</v>
          </cell>
          <cell r="G23">
            <v>0.12939659595171293</v>
          </cell>
          <cell r="H23">
            <v>0.10280552867575024</v>
          </cell>
          <cell r="I23">
            <v>0.10137448132118269</v>
          </cell>
          <cell r="J23">
            <v>1.4310473545675467E-3</v>
          </cell>
          <cell r="K23">
            <v>0.2358404356150357</v>
          </cell>
          <cell r="L23">
            <v>0.19201128405856013</v>
          </cell>
          <cell r="M23">
            <v>4.3829151556475571E-2</v>
          </cell>
          <cell r="N23">
            <v>3.4822238282485547E-2</v>
          </cell>
          <cell r="O23">
            <v>3.4337514623980339E-2</v>
          </cell>
          <cell r="P23">
            <v>4.8472365850520767E-4</v>
          </cell>
        </row>
        <row r="24">
          <cell r="B24" t="str">
            <v>Iceland</v>
          </cell>
          <cell r="C24">
            <v>0.52270000000000005</v>
          </cell>
          <cell r="D24">
            <v>0.2</v>
          </cell>
          <cell r="E24">
            <v>0.10423927530313748</v>
          </cell>
          <cell r="F24">
            <v>5.7693109080881121E-2</v>
          </cell>
          <cell r="G24">
            <v>4.6546166222256359E-2</v>
          </cell>
          <cell r="H24">
            <v>2.9649783523944548E-3</v>
          </cell>
          <cell r="I24">
            <v>2.8164551082603762E-3</v>
          </cell>
          <cell r="J24">
            <v>1.4852324413407864E-4</v>
          </cell>
          <cell r="K24">
            <v>0.19942467056272711</v>
          </cell>
          <cell r="L24">
            <v>0.11037518477306507</v>
          </cell>
          <cell r="M24">
            <v>8.9049485789662056E-2</v>
          </cell>
          <cell r="N24">
            <v>5.6724284530217228E-3</v>
          </cell>
          <cell r="O24">
            <v>5.3882822044392115E-3</v>
          </cell>
          <cell r="P24">
            <v>2.8414624858251122E-4</v>
          </cell>
        </row>
        <row r="25">
          <cell r="B25" t="str">
            <v>Ireland</v>
          </cell>
          <cell r="C25">
            <v>8.13337647</v>
          </cell>
        </row>
        <row r="26">
          <cell r="B26" t="str">
            <v>Israel</v>
          </cell>
          <cell r="C26">
            <v>9.8337042399999994</v>
          </cell>
          <cell r="D26">
            <v>0.25</v>
          </cell>
          <cell r="E26">
            <v>0.59976955501753593</v>
          </cell>
          <cell r="F26">
            <v>2.5299465603554231E-2</v>
          </cell>
          <cell r="G26">
            <v>0.5744700894139817</v>
          </cell>
          <cell r="H26">
            <v>0.14445616389591243</v>
          </cell>
          <cell r="I26">
            <v>1.7881583871679478E-2</v>
          </cell>
          <cell r="J26">
            <v>0.12657458002423294</v>
          </cell>
          <cell r="K26">
            <v>6.0991213522355842E-2</v>
          </cell>
          <cell r="L26">
            <v>2.5727299689007358E-3</v>
          </cell>
          <cell r="M26">
            <v>5.8418483553455108E-2</v>
          </cell>
          <cell r="N26">
            <v>1.4689903252155613E-2</v>
          </cell>
          <cell r="O26">
            <v>1.8183975677185384E-3</v>
          </cell>
          <cell r="P26">
            <v>1.2871505684437073E-2</v>
          </cell>
        </row>
        <row r="27">
          <cell r="B27" t="str">
            <v>Italy</v>
          </cell>
          <cell r="C27">
            <v>39.943143790000001</v>
          </cell>
          <cell r="D27">
            <v>0.314</v>
          </cell>
          <cell r="E27">
            <v>7.5351360197667923</v>
          </cell>
          <cell r="F27">
            <v>6.5779867261845935</v>
          </cell>
          <cell r="G27">
            <v>0.9571492935821988</v>
          </cell>
          <cell r="H27">
            <v>1.2716158836060725</v>
          </cell>
          <cell r="I27">
            <v>0.85621990411075333</v>
          </cell>
          <cell r="J27">
            <v>0.41539597949531915</v>
          </cell>
          <cell r="K27">
            <v>0.1886465436817534</v>
          </cell>
          <cell r="L27">
            <v>0.1646837505021683</v>
          </cell>
          <cell r="M27">
            <v>2.3962793179585096E-2</v>
          </cell>
          <cell r="N27">
            <v>3.1835648447992942E-2</v>
          </cell>
          <cell r="O27">
            <v>2.1435966798515067E-2</v>
          </cell>
          <cell r="P27">
            <v>1.0399681649477875E-2</v>
          </cell>
        </row>
        <row r="28">
          <cell r="B28" t="str">
            <v>Japan</v>
          </cell>
          <cell r="C28">
            <v>181.79587087000002</v>
          </cell>
          <cell r="D28">
            <v>0.30859999999999999</v>
          </cell>
          <cell r="E28">
            <v>3.6483275479911965</v>
          </cell>
          <cell r="F28">
            <v>2.2000049693733743</v>
          </cell>
          <cell r="G28">
            <v>1.4483225786178222</v>
          </cell>
          <cell r="H28">
            <v>6.4418731744305235</v>
          </cell>
          <cell r="J28">
            <v>6.4418731744305235</v>
          </cell>
          <cell r="K28">
            <v>2.0068264094953346E-2</v>
          </cell>
          <cell r="L28">
            <v>1.2101512310731033E-2</v>
          </cell>
          <cell r="M28">
            <v>7.9667517842223149E-3</v>
          </cell>
          <cell r="N28">
            <v>3.5434650652967949E-2</v>
          </cell>
          <cell r="O28">
            <v>0</v>
          </cell>
          <cell r="P28">
            <v>3.5434650652967949E-2</v>
          </cell>
        </row>
        <row r="29">
          <cell r="B29" t="str">
            <v>Korea</v>
          </cell>
          <cell r="C29">
            <v>50.663828039999999</v>
          </cell>
          <cell r="D29">
            <v>0.24199999999999999</v>
          </cell>
          <cell r="E29">
            <v>1.132532158626059</v>
          </cell>
          <cell r="F29">
            <v>0.41794187465355515</v>
          </cell>
          <cell r="G29">
            <v>0.7145902839725039</v>
          </cell>
          <cell r="H29">
            <v>0.40981298666038085</v>
          </cell>
          <cell r="I29">
            <v>0.20414097928967456</v>
          </cell>
          <cell r="J29">
            <v>0.20567200737070629</v>
          </cell>
          <cell r="K29">
            <v>2.2353860780750807E-2</v>
          </cell>
          <cell r="L29">
            <v>8.2493149614273637E-3</v>
          </cell>
          <cell r="M29">
            <v>1.4104545819323445E-2</v>
          </cell>
          <cell r="N29">
            <v>8.0888673934552714E-3</v>
          </cell>
          <cell r="O29">
            <v>4.0293240204530463E-3</v>
          </cell>
          <cell r="P29">
            <v>4.0595433730022251E-3</v>
          </cell>
        </row>
        <row r="30">
          <cell r="B30" t="str">
            <v>Latvia</v>
          </cell>
          <cell r="C30">
            <v>0.46924952999999997</v>
          </cell>
          <cell r="D30">
            <v>0.15</v>
          </cell>
          <cell r="E30">
            <v>3.8707331102436862E-2</v>
          </cell>
          <cell r="F30">
            <v>2.8114332931604608E-2</v>
          </cell>
          <cell r="G30">
            <v>1.0592998170832254E-2</v>
          </cell>
          <cell r="H30">
            <v>-2.105580711944161E-4</v>
          </cell>
          <cell r="I30">
            <v>-2.2434688905898254E-4</v>
          </cell>
          <cell r="J30">
            <v>1.3788817864566447E-5</v>
          </cell>
          <cell r="K30">
            <v>8.2487735475061344E-2</v>
          </cell>
          <cell r="L30">
            <v>5.9913396038147569E-2</v>
          </cell>
          <cell r="M30">
            <v>2.2574339436913778E-2</v>
          </cell>
          <cell r="N30">
            <v>-4.4871237525675545E-4</v>
          </cell>
          <cell r="O30">
            <v>-4.7809720567857056E-4</v>
          </cell>
          <cell r="P30">
            <v>2.9384830421815122E-5</v>
          </cell>
        </row>
        <row r="31">
          <cell r="B31" t="str">
            <v>Luxembourg</v>
          </cell>
          <cell r="C31">
            <v>2.7199356200000002</v>
          </cell>
        </row>
        <row r="32">
          <cell r="B32" t="str">
            <v>Mexico</v>
          </cell>
          <cell r="C32">
            <v>37.55478042</v>
          </cell>
          <cell r="D32">
            <v>0.3</v>
          </cell>
          <cell r="E32">
            <v>3.3152418530925507</v>
          </cell>
          <cell r="F32">
            <v>0.73741362223272289</v>
          </cell>
          <cell r="G32">
            <v>2.5778282308598279</v>
          </cell>
          <cell r="H32">
            <v>1.1799142752703846</v>
          </cell>
          <cell r="I32">
            <v>0.9757737289202042</v>
          </cell>
          <cell r="J32">
            <v>0.20414054635018042</v>
          </cell>
          <cell r="K32">
            <v>8.8277492665807228E-2</v>
          </cell>
          <cell r="L32">
            <v>1.9635679239386774E-2</v>
          </cell>
          <cell r="M32">
            <v>6.864181342642045E-2</v>
          </cell>
          <cell r="N32">
            <v>3.1418484200270144E-2</v>
          </cell>
          <cell r="O32">
            <v>2.5982676985658811E-2</v>
          </cell>
          <cell r="P32">
            <v>5.435807214611333E-3</v>
          </cell>
        </row>
        <row r="33">
          <cell r="B33" t="str">
            <v>Netherlands</v>
          </cell>
          <cell r="C33">
            <v>26.216905320000002</v>
          </cell>
        </row>
        <row r="34">
          <cell r="B34" t="str">
            <v>New Zealand</v>
          </cell>
          <cell r="C34">
            <v>9.3705295799999995</v>
          </cell>
          <cell r="D34">
            <v>0.28000000000000003</v>
          </cell>
          <cell r="E34">
            <v>0.54036628119999008</v>
          </cell>
          <cell r="F34">
            <v>0.1312211056208426</v>
          </cell>
          <cell r="G34">
            <v>0.40914517557914748</v>
          </cell>
          <cell r="H34">
            <v>0.20118512585930232</v>
          </cell>
          <cell r="I34">
            <v>-3.2865676567513914E-2</v>
          </cell>
          <cell r="J34">
            <v>0.23405080242681622</v>
          </cell>
          <cell r="K34">
            <v>5.7666567997749184E-2</v>
          </cell>
          <cell r="L34">
            <v>1.4003595474573232E-2</v>
          </cell>
          <cell r="M34">
            <v>4.3662972523175955E-2</v>
          </cell>
          <cell r="N34">
            <v>2.1469984608842387E-2</v>
          </cell>
          <cell r="O34">
            <v>-3.5073446262483187E-3</v>
          </cell>
          <cell r="P34">
            <v>2.4977329235090707E-2</v>
          </cell>
        </row>
        <row r="35">
          <cell r="B35" t="str">
            <v>Norway</v>
          </cell>
          <cell r="C35">
            <v>14.92821429</v>
          </cell>
          <cell r="D35">
            <v>0.25</v>
          </cell>
          <cell r="E35">
            <v>1.5568645455340269</v>
          </cell>
          <cell r="F35">
            <v>0.87583320451704072</v>
          </cell>
          <cell r="G35">
            <v>0.68103134101698615</v>
          </cell>
          <cell r="H35">
            <v>1.4690776207254643</v>
          </cell>
          <cell r="I35">
            <v>1.0383758067361835</v>
          </cell>
          <cell r="J35">
            <v>0.43070181398928087</v>
          </cell>
          <cell r="K35">
            <v>0.10429007216066878</v>
          </cell>
          <cell r="L35">
            <v>5.8669656497611862E-2</v>
          </cell>
          <cell r="M35">
            <v>4.5620415663056919E-2</v>
          </cell>
          <cell r="N35">
            <v>9.8409467615263202E-2</v>
          </cell>
          <cell r="O35">
            <v>6.9557938180976067E-2</v>
          </cell>
          <cell r="P35">
            <v>2.8851529434287138E-2</v>
          </cell>
        </row>
        <row r="36">
          <cell r="B36" t="str">
            <v>Poland</v>
          </cell>
          <cell r="C36">
            <v>8.6690035900000009</v>
          </cell>
          <cell r="D36">
            <v>0.19</v>
          </cell>
          <cell r="E36">
            <v>0.79893598211264416</v>
          </cell>
          <cell r="F36">
            <v>0.68011038187032624</v>
          </cell>
          <cell r="G36">
            <v>0.11882560024231792</v>
          </cell>
          <cell r="H36">
            <v>-0.5193949386200013</v>
          </cell>
          <cell r="I36">
            <v>-0.51977260636982037</v>
          </cell>
          <cell r="J36">
            <v>3.7766774981906615E-4</v>
          </cell>
          <cell r="K36">
            <v>9.2160070510784509E-2</v>
          </cell>
          <cell r="L36">
            <v>7.8453120339557522E-2</v>
          </cell>
          <cell r="M36">
            <v>1.3706950171226992E-2</v>
          </cell>
          <cell r="N36">
            <v>-5.9914029706844459E-2</v>
          </cell>
          <cell r="O36">
            <v>-5.9957595007734947E-2</v>
          </cell>
          <cell r="P36">
            <v>4.3565300890487473E-5</v>
          </cell>
        </row>
        <row r="37">
          <cell r="B37" t="str">
            <v>Portugal</v>
          </cell>
          <cell r="C37">
            <v>6.2764074399999998</v>
          </cell>
          <cell r="D37">
            <v>0.21</v>
          </cell>
          <cell r="E37">
            <v>0.68459114159965884</v>
          </cell>
          <cell r="F37">
            <v>0.6175181003731437</v>
          </cell>
          <cell r="G37">
            <v>6.707304122651514E-2</v>
          </cell>
          <cell r="H37">
            <v>6.3155802626748858E-2</v>
          </cell>
          <cell r="I37">
            <v>7.2142971360434802E-4</v>
          </cell>
          <cell r="J37">
            <v>6.2434372913144513E-2</v>
          </cell>
          <cell r="K37">
            <v>0.10907372539849944</v>
          </cell>
          <cell r="L37">
            <v>9.838719144293534E-2</v>
          </cell>
          <cell r="M37">
            <v>1.06865339555641E-2</v>
          </cell>
          <cell r="N37">
            <v>1.0062412810273015E-2</v>
          </cell>
          <cell r="O37">
            <v>1.1494309770373162E-4</v>
          </cell>
          <cell r="P37">
            <v>9.9474697125692835E-3</v>
          </cell>
        </row>
        <row r="38">
          <cell r="B38" t="str">
            <v>Slovakia</v>
          </cell>
          <cell r="C38">
            <v>3.1293556100000002</v>
          </cell>
          <cell r="D38">
            <v>0.22</v>
          </cell>
          <cell r="E38">
            <v>0.18703946042837577</v>
          </cell>
          <cell r="F38">
            <v>0.16263870299005564</v>
          </cell>
          <cell r="G38">
            <v>2.4400757438320125E-2</v>
          </cell>
          <cell r="H38">
            <v>2.1401716733250239E-2</v>
          </cell>
          <cell r="I38">
            <v>2.0557979177120288E-2</v>
          </cell>
          <cell r="J38">
            <v>8.4373755612995177E-4</v>
          </cell>
          <cell r="K38">
            <v>5.9769321144162252E-2</v>
          </cell>
          <cell r="L38">
            <v>5.1971946706962979E-2</v>
          </cell>
          <cell r="M38">
            <v>7.7973744371992683E-3</v>
          </cell>
          <cell r="N38">
            <v>6.8390171653423043E-3</v>
          </cell>
          <cell r="O38">
            <v>6.5693969427527881E-3</v>
          </cell>
          <cell r="P38">
            <v>2.6962022258951636E-4</v>
          </cell>
        </row>
        <row r="39">
          <cell r="B39" t="str">
            <v>Slovenia</v>
          </cell>
          <cell r="C39">
            <v>0.71326331000000009</v>
          </cell>
          <cell r="D39">
            <v>0.17</v>
          </cell>
          <cell r="E39">
            <v>0.15129606946794469</v>
          </cell>
          <cell r="F39">
            <v>0.13767883212019053</v>
          </cell>
          <cell r="G39">
            <v>1.3617237347754163E-2</v>
          </cell>
          <cell r="H39">
            <v>-1.2977272844935494E-3</v>
          </cell>
          <cell r="I39">
            <v>-1.3944672376307527E-3</v>
          </cell>
          <cell r="J39">
            <v>9.6739953137203261E-5</v>
          </cell>
          <cell r="K39">
            <v>0.21211811591422622</v>
          </cell>
          <cell r="L39">
            <v>0.1930266567618493</v>
          </cell>
          <cell r="M39">
            <v>1.9091459152376925E-2</v>
          </cell>
          <cell r="N39">
            <v>-1.8194224577366095E-3</v>
          </cell>
          <cell r="O39">
            <v>-1.9550525284004199E-3</v>
          </cell>
          <cell r="P39">
            <v>1.3563007066381033E-4</v>
          </cell>
        </row>
        <row r="40">
          <cell r="B40" t="str">
            <v>Spain</v>
          </cell>
          <cell r="C40">
            <v>27.777534060000001</v>
          </cell>
          <cell r="D40">
            <v>0.25</v>
          </cell>
          <cell r="E40">
            <v>3.6733541709415363</v>
          </cell>
          <cell r="F40">
            <v>3.0276873734716068</v>
          </cell>
          <cell r="G40">
            <v>0.6456667974699295</v>
          </cell>
          <cell r="H40">
            <v>0.83835372937270802</v>
          </cell>
          <cell r="I40">
            <v>0.29826631826447503</v>
          </cell>
          <cell r="J40">
            <v>0.540087411108233</v>
          </cell>
          <cell r="K40">
            <v>0.13224191042325864</v>
          </cell>
          <cell r="L40">
            <v>0.10899770177337356</v>
          </cell>
          <cell r="M40">
            <v>2.3244208649885082E-2</v>
          </cell>
          <cell r="N40">
            <v>3.0180999060674285E-2</v>
          </cell>
          <cell r="O40">
            <v>1.0737681668222029E-2</v>
          </cell>
          <cell r="P40">
            <v>1.9443317392452256E-2</v>
          </cell>
        </row>
        <row r="41">
          <cell r="B41" t="str">
            <v>Sweden</v>
          </cell>
          <cell r="C41">
            <v>14.074461639999999</v>
          </cell>
          <cell r="D41">
            <v>0.22</v>
          </cell>
          <cell r="E41">
            <v>2.2670317026840809</v>
          </cell>
          <cell r="F41">
            <v>1.8275463453446905</v>
          </cell>
          <cell r="G41">
            <v>0.43948535733939043</v>
          </cell>
          <cell r="H41">
            <v>2.2567859184528132</v>
          </cell>
          <cell r="I41">
            <v>1.6033241549688964</v>
          </cell>
          <cell r="J41">
            <v>0.65346176348391682</v>
          </cell>
          <cell r="K41">
            <v>0.16107413275695859</v>
          </cell>
          <cell r="L41">
            <v>0.12984840145862167</v>
          </cell>
          <cell r="M41">
            <v>3.1225731298336924E-2</v>
          </cell>
          <cell r="N41">
            <v>0.16034616287126513</v>
          </cell>
          <cell r="O41">
            <v>0.1139172634789956</v>
          </cell>
          <cell r="P41">
            <v>4.6428899392269532E-2</v>
          </cell>
        </row>
        <row r="42">
          <cell r="B42" t="str">
            <v>Switzerland</v>
          </cell>
          <cell r="C42">
            <v>21.00021108</v>
          </cell>
          <cell r="E42">
            <v>0</v>
          </cell>
          <cell r="F42">
            <v>0</v>
          </cell>
          <cell r="G42">
            <v>0</v>
          </cell>
          <cell r="H42">
            <v>0</v>
          </cell>
          <cell r="I42">
            <v>0</v>
          </cell>
          <cell r="J42">
            <v>0</v>
          </cell>
        </row>
        <row r="43">
          <cell r="B43" t="str">
            <v>Turkey</v>
          </cell>
          <cell r="C43">
            <v>14.227729890000001</v>
          </cell>
          <cell r="D43">
            <v>0.2</v>
          </cell>
          <cell r="E43">
            <v>0.7708493576541694</v>
          </cell>
          <cell r="F43">
            <v>0.34673674603225685</v>
          </cell>
          <cell r="G43">
            <v>0.42411261162191255</v>
          </cell>
          <cell r="H43">
            <v>0.10127252950886367</v>
          </cell>
          <cell r="I43">
            <v>9.704567477684517E-2</v>
          </cell>
          <cell r="J43">
            <v>4.2268547320185035E-3</v>
          </cell>
          <cell r="K43">
            <v>5.4179364073812152E-2</v>
          </cell>
          <cell r="L43">
            <v>2.4370489790923128E-2</v>
          </cell>
          <cell r="M43">
            <v>2.9808874282889027E-2</v>
          </cell>
          <cell r="N43">
            <v>7.11796824172515E-3</v>
          </cell>
          <cell r="O43">
            <v>6.8208825671517695E-3</v>
          </cell>
          <cell r="P43">
            <v>2.9708567457338082E-4</v>
          </cell>
        </row>
        <row r="44">
          <cell r="B44" t="str">
            <v>United Kingdom</v>
          </cell>
          <cell r="C44">
            <v>72.162498619999994</v>
          </cell>
          <cell r="D44">
            <v>0.2</v>
          </cell>
          <cell r="E44">
            <v>16.104910230468295</v>
          </cell>
          <cell r="F44">
            <v>12.764966587460277</v>
          </cell>
          <cell r="G44">
            <v>3.3399436430080183</v>
          </cell>
          <cell r="H44">
            <v>11.78512871667046</v>
          </cell>
          <cell r="I44">
            <v>8.3936827749398564</v>
          </cell>
          <cell r="J44">
            <v>3.3914459417306038</v>
          </cell>
          <cell r="K44">
            <v>0.22317561806271471</v>
          </cell>
          <cell r="L44">
            <v>0.17689197064363343</v>
          </cell>
          <cell r="M44">
            <v>4.6283647419081267E-2</v>
          </cell>
          <cell r="N44">
            <v>0.1633137563421922</v>
          </cell>
          <cell r="O44">
            <v>0.11631640998380742</v>
          </cell>
          <cell r="P44">
            <v>4.6997346358384783E-2</v>
          </cell>
        </row>
        <row r="45">
          <cell r="B45" t="str">
            <v>United States</v>
          </cell>
          <cell r="C45">
            <v>367.89620000000002</v>
          </cell>
          <cell r="D45">
            <v>0.4</v>
          </cell>
          <cell r="E45">
            <v>60.823848815638108</v>
          </cell>
          <cell r="F45">
            <v>18.018281746899849</v>
          </cell>
          <cell r="G45">
            <v>42.805567068738256</v>
          </cell>
          <cell r="H45">
            <v>132.15778185029814</v>
          </cell>
          <cell r="I45">
            <v>74.268813885172094</v>
          </cell>
          <cell r="J45">
            <v>57.888967965126042</v>
          </cell>
          <cell r="K45">
            <v>0.16532883138134644</v>
          </cell>
          <cell r="L45">
            <v>4.8976536715790615E-2</v>
          </cell>
          <cell r="M45">
            <v>0.11635229466555581</v>
          </cell>
          <cell r="N45">
            <v>0.35922573228616694</v>
          </cell>
          <cell r="O45">
            <v>0.20187437077407183</v>
          </cell>
          <cell r="P45">
            <v>0.15735136151209508</v>
          </cell>
        </row>
        <row r="46">
          <cell r="B46" t="str">
            <v>Main developing countries</v>
          </cell>
          <cell r="C46">
            <v>638.5446146395758</v>
          </cell>
          <cell r="E46">
            <v>25.993305619447554</v>
          </cell>
          <cell r="F46">
            <v>7.2542945058246904</v>
          </cell>
          <cell r="G46">
            <v>18.739011113622862</v>
          </cell>
          <cell r="H46">
            <v>18.364128000869016</v>
          </cell>
          <cell r="I46">
            <v>2.4048297620294727</v>
          </cell>
          <cell r="J46">
            <v>15.959298238839542</v>
          </cell>
          <cell r="K46">
            <v>4.0707109610687707E-2</v>
          </cell>
          <cell r="L46">
            <v>1.1360669778601689E-2</v>
          </cell>
          <cell r="M46">
            <v>2.9346439832086017E-2</v>
          </cell>
          <cell r="N46">
            <v>2.8759349902644754E-2</v>
          </cell>
          <cell r="O46">
            <v>3.766110788338369E-3</v>
          </cell>
          <cell r="P46">
            <v>2.4993239114306384E-2</v>
          </cell>
        </row>
        <row r="47">
          <cell r="B47" t="str">
            <v>Brazil</v>
          </cell>
          <cell r="C47">
            <v>56.735550000000003</v>
          </cell>
          <cell r="D47">
            <v>0.34</v>
          </cell>
          <cell r="E47">
            <v>5.8816974688089783</v>
          </cell>
          <cell r="F47">
            <v>2.52703961940222</v>
          </cell>
          <cell r="G47">
            <v>3.3546578494067583</v>
          </cell>
          <cell r="H47">
            <v>2.4921737560470638</v>
          </cell>
          <cell r="I47">
            <v>2.3829749648602845</v>
          </cell>
          <cell r="J47">
            <v>0.10919879118677933</v>
          </cell>
          <cell r="K47">
            <v>0.10366864283168098</v>
          </cell>
          <cell r="L47">
            <v>4.4540673694045796E-2</v>
          </cell>
          <cell r="M47">
            <v>5.912796913763519E-2</v>
          </cell>
          <cell r="N47">
            <v>4.3926140771475095E-2</v>
          </cell>
          <cell r="O47">
            <v>4.200144292000843E-2</v>
          </cell>
          <cell r="P47">
            <v>1.924697851466661E-3</v>
          </cell>
        </row>
        <row r="48">
          <cell r="B48" t="str">
            <v>China</v>
          </cell>
          <cell r="C48">
            <v>434.34537</v>
          </cell>
          <cell r="D48">
            <v>0.25</v>
          </cell>
          <cell r="E48">
            <v>12.606489790579786</v>
          </cell>
          <cell r="F48">
            <v>1.7444873947933695</v>
          </cell>
          <cell r="G48">
            <v>10.862002395786417</v>
          </cell>
          <cell r="H48">
            <v>12.310075231448579</v>
          </cell>
          <cell r="I48">
            <v>1.7389689409202105E-3</v>
          </cell>
          <cell r="J48">
            <v>12.308336262507659</v>
          </cell>
          <cell r="K48">
            <v>2.9024114590146977E-2</v>
          </cell>
          <cell r="L48">
            <v>4.0163600564992082E-3</v>
          </cell>
          <cell r="M48">
            <v>2.5007754533647768E-2</v>
          </cell>
          <cell r="N48">
            <v>2.8341674809261991E-2</v>
          </cell>
          <cell r="O48">
            <v>4.0036548355982484E-6</v>
          </cell>
          <cell r="P48">
            <v>2.8337671154426394E-2</v>
          </cell>
        </row>
        <row r="49">
          <cell r="B49" t="str">
            <v>Colombia</v>
          </cell>
          <cell r="C49">
            <v>16.404044639575702</v>
          </cell>
          <cell r="D49">
            <v>0.25</v>
          </cell>
          <cell r="E49">
            <v>0.24563803646304597</v>
          </cell>
          <cell r="F49">
            <v>8.9557831355339748E-2</v>
          </cell>
          <cell r="G49">
            <v>0.1560802051077062</v>
          </cell>
          <cell r="H49">
            <v>0.27016795607716715</v>
          </cell>
          <cell r="I49">
            <v>-7.9721164967670147E-4</v>
          </cell>
          <cell r="J49">
            <v>0.27096516772684387</v>
          </cell>
          <cell r="K49">
            <v>1.4974236041179142E-2</v>
          </cell>
          <cell r="L49">
            <v>5.4594969303653519E-3</v>
          </cell>
          <cell r="M49">
            <v>9.5147391108137882E-3</v>
          </cell>
          <cell r="N49">
            <v>1.646959405519852E-2</v>
          </cell>
          <cell r="O49">
            <v>-4.859848087424625E-5</v>
          </cell>
          <cell r="P49">
            <v>1.651819253607277E-2</v>
          </cell>
        </row>
        <row r="50">
          <cell r="B50" t="str">
            <v>Costa Rica</v>
          </cell>
          <cell r="C50">
            <v>1.54054</v>
          </cell>
          <cell r="D50">
            <v>0.3</v>
          </cell>
          <cell r="E50">
            <v>0.26928551342352619</v>
          </cell>
          <cell r="F50">
            <v>9.817952848376707E-2</v>
          </cell>
          <cell r="G50">
            <v>0.17110598493975912</v>
          </cell>
          <cell r="H50">
            <v>3.8687483098985592E-2</v>
          </cell>
          <cell r="I50">
            <v>-4.7910856766761279E-4</v>
          </cell>
          <cell r="J50">
            <v>3.9166591666653205E-2</v>
          </cell>
          <cell r="K50">
            <v>0.17479942969577303</v>
          </cell>
          <cell r="L50">
            <v>6.373059348265353E-2</v>
          </cell>
          <cell r="M50">
            <v>0.1110688362131195</v>
          </cell>
          <cell r="N50">
            <v>2.5112936437213958E-2</v>
          </cell>
          <cell r="O50">
            <v>-3.1100040743350563E-4</v>
          </cell>
          <cell r="P50">
            <v>2.5423936844647464E-2</v>
          </cell>
        </row>
        <row r="51">
          <cell r="B51" t="str">
            <v>India</v>
          </cell>
          <cell r="C51">
            <v>72.209999999999994</v>
          </cell>
          <cell r="D51">
            <v>0.34610000000000002</v>
          </cell>
          <cell r="E51">
            <v>3.3187163026354685</v>
          </cell>
          <cell r="F51">
            <v>1.2098368294344157</v>
          </cell>
          <cell r="G51">
            <v>2.1088794732010525</v>
          </cell>
          <cell r="H51">
            <v>1.7510349559750886</v>
          </cell>
          <cell r="I51">
            <v>1.0792004921667408E-2</v>
          </cell>
          <cell r="J51">
            <v>1.7402429510534212</v>
          </cell>
          <cell r="K51">
            <v>4.5959234214588959E-2</v>
          </cell>
          <cell r="L51">
            <v>1.6754422232854393E-2</v>
          </cell>
          <cell r="M51">
            <v>2.9204811981734562E-2</v>
          </cell>
          <cell r="N51">
            <v>2.4249203101718443E-2</v>
          </cell>
          <cell r="O51">
            <v>1.4945305250889639E-4</v>
          </cell>
          <cell r="P51">
            <v>2.4099750049209546E-2</v>
          </cell>
        </row>
        <row r="52">
          <cell r="B52" t="str">
            <v>Russia</v>
          </cell>
          <cell r="C52">
            <v>41.045430000000003</v>
          </cell>
          <cell r="D52">
            <v>0.2</v>
          </cell>
          <cell r="E52">
            <v>2.5445904777630837</v>
          </cell>
          <cell r="F52">
            <v>1.0969881485511657</v>
          </cell>
          <cell r="G52">
            <v>1.447602329211918</v>
          </cell>
          <cell r="H52">
            <v>0.16333828428893002</v>
          </cell>
          <cell r="I52">
            <v>0.15532235878637946</v>
          </cell>
          <cell r="J52">
            <v>8.0159255025505638E-3</v>
          </cell>
          <cell r="K52">
            <v>6.199448946601567E-2</v>
          </cell>
          <cell r="L52">
            <v>2.6726194573943204E-2</v>
          </cell>
          <cell r="M52">
            <v>3.5268294892072463E-2</v>
          </cell>
          <cell r="N52">
            <v>3.9794511664009852E-3</v>
          </cell>
          <cell r="O52">
            <v>3.7841571835495313E-3</v>
          </cell>
          <cell r="P52">
            <v>1.952939828514542E-4</v>
          </cell>
        </row>
        <row r="53">
          <cell r="B53" t="str">
            <v>South Africa</v>
          </cell>
          <cell r="C53">
            <v>16.263680000000001</v>
          </cell>
          <cell r="D53">
            <v>0.28000000000000003</v>
          </cell>
          <cell r="E53">
            <v>1.1268880297736659</v>
          </cell>
          <cell r="F53">
            <v>0.48820515380441321</v>
          </cell>
          <cell r="G53">
            <v>0.63868287596925266</v>
          </cell>
          <cell r="H53">
            <v>1.3386503339331994</v>
          </cell>
          <cell r="I53">
            <v>-0.14472221526243412</v>
          </cell>
          <cell r="J53">
            <v>1.4833725491956335</v>
          </cell>
          <cell r="K53">
            <v>6.9288625315652164E-2</v>
          </cell>
          <cell r="L53">
            <v>3.0018123438509191E-2</v>
          </cell>
          <cell r="M53">
            <v>3.9270501877142976E-2</v>
          </cell>
          <cell r="N53">
            <v>8.2309190412821656E-2</v>
          </cell>
          <cell r="O53">
            <v>-8.8984913169980039E-3</v>
          </cell>
          <cell r="P53">
            <v>9.1207681729819662E-2</v>
          </cell>
        </row>
        <row r="54">
          <cell r="B54" t="str">
            <v>Non-OECD tax havens</v>
          </cell>
          <cell r="E54">
            <v>0</v>
          </cell>
          <cell r="F54">
            <v>0</v>
          </cell>
          <cell r="G54">
            <v>0</v>
          </cell>
          <cell r="H54">
            <v>0</v>
          </cell>
          <cell r="I54">
            <v>0</v>
          </cell>
          <cell r="J54">
            <v>0</v>
          </cell>
        </row>
        <row r="55">
          <cell r="B55" t="str">
            <v>Andorra</v>
          </cell>
          <cell r="E55">
            <v>0</v>
          </cell>
          <cell r="F55">
            <v>0</v>
          </cell>
          <cell r="G55">
            <v>0</v>
          </cell>
          <cell r="H55">
            <v>0</v>
          </cell>
          <cell r="I55">
            <v>0</v>
          </cell>
          <cell r="J55">
            <v>0</v>
          </cell>
        </row>
        <row r="56">
          <cell r="B56" t="str">
            <v>Anguilla</v>
          </cell>
          <cell r="E56">
            <v>0</v>
          </cell>
          <cell r="F56">
            <v>0</v>
          </cell>
          <cell r="G56">
            <v>0</v>
          </cell>
          <cell r="H56">
            <v>0</v>
          </cell>
          <cell r="I56">
            <v>0</v>
          </cell>
          <cell r="J56">
            <v>0</v>
          </cell>
        </row>
        <row r="57">
          <cell r="B57" t="str">
            <v>Antigua and Barbuda</v>
          </cell>
          <cell r="E57">
            <v>0</v>
          </cell>
          <cell r="F57">
            <v>0</v>
          </cell>
          <cell r="G57">
            <v>0</v>
          </cell>
          <cell r="H57">
            <v>0</v>
          </cell>
          <cell r="I57">
            <v>0</v>
          </cell>
          <cell r="J57">
            <v>0</v>
          </cell>
        </row>
        <row r="58">
          <cell r="B58" t="str">
            <v>Aruba</v>
          </cell>
          <cell r="E58">
            <v>0</v>
          </cell>
          <cell r="F58">
            <v>0</v>
          </cell>
          <cell r="G58">
            <v>0</v>
          </cell>
          <cell r="H58">
            <v>0</v>
          </cell>
          <cell r="I58">
            <v>0</v>
          </cell>
          <cell r="J58">
            <v>0</v>
          </cell>
        </row>
        <row r="59">
          <cell r="B59" t="str">
            <v>Bahamas</v>
          </cell>
          <cell r="E59">
            <v>0</v>
          </cell>
          <cell r="F59">
            <v>0</v>
          </cell>
          <cell r="G59">
            <v>0</v>
          </cell>
          <cell r="H59">
            <v>0</v>
          </cell>
          <cell r="I59">
            <v>0</v>
          </cell>
          <cell r="J59">
            <v>0</v>
          </cell>
        </row>
        <row r="60">
          <cell r="B60" t="str">
            <v>Bahrain</v>
          </cell>
          <cell r="E60">
            <v>0</v>
          </cell>
          <cell r="F60">
            <v>0</v>
          </cell>
          <cell r="G60">
            <v>0</v>
          </cell>
          <cell r="H60">
            <v>0</v>
          </cell>
          <cell r="I60">
            <v>0</v>
          </cell>
          <cell r="J60">
            <v>0</v>
          </cell>
        </row>
        <row r="61">
          <cell r="B61" t="str">
            <v>Barbados</v>
          </cell>
          <cell r="E61">
            <v>0</v>
          </cell>
          <cell r="F61">
            <v>0</v>
          </cell>
          <cell r="G61">
            <v>0</v>
          </cell>
          <cell r="H61">
            <v>0</v>
          </cell>
          <cell r="I61">
            <v>0</v>
          </cell>
          <cell r="J61">
            <v>0</v>
          </cell>
        </row>
        <row r="62">
          <cell r="B62" t="str">
            <v>Belize</v>
          </cell>
          <cell r="E62">
            <v>0</v>
          </cell>
          <cell r="F62">
            <v>0</v>
          </cell>
          <cell r="G62">
            <v>0</v>
          </cell>
          <cell r="H62">
            <v>0</v>
          </cell>
          <cell r="I62">
            <v>0</v>
          </cell>
          <cell r="J62">
            <v>0</v>
          </cell>
        </row>
        <row r="63">
          <cell r="B63" t="str">
            <v>Bermuda</v>
          </cell>
          <cell r="E63">
            <v>0</v>
          </cell>
          <cell r="F63">
            <v>0</v>
          </cell>
          <cell r="G63">
            <v>0</v>
          </cell>
          <cell r="H63">
            <v>0</v>
          </cell>
          <cell r="I63">
            <v>0</v>
          </cell>
          <cell r="J63">
            <v>0</v>
          </cell>
        </row>
        <row r="64">
          <cell r="B64" t="str">
            <v>Bonaire</v>
          </cell>
          <cell r="E64">
            <v>0</v>
          </cell>
          <cell r="F64">
            <v>0</v>
          </cell>
          <cell r="G64">
            <v>0</v>
          </cell>
          <cell r="H64">
            <v>0</v>
          </cell>
          <cell r="I64">
            <v>0</v>
          </cell>
          <cell r="J64">
            <v>0</v>
          </cell>
        </row>
        <row r="65">
          <cell r="B65" t="str">
            <v>BVI</v>
          </cell>
          <cell r="E65">
            <v>0</v>
          </cell>
          <cell r="F65">
            <v>0</v>
          </cell>
          <cell r="G65">
            <v>0</v>
          </cell>
          <cell r="H65">
            <v>0</v>
          </cell>
          <cell r="I65">
            <v>0</v>
          </cell>
          <cell r="J65">
            <v>0</v>
          </cell>
        </row>
        <row r="66">
          <cell r="B66" t="str">
            <v>Cayman Islands</v>
          </cell>
          <cell r="E66">
            <v>0</v>
          </cell>
          <cell r="F66">
            <v>0</v>
          </cell>
          <cell r="G66">
            <v>0</v>
          </cell>
          <cell r="H66">
            <v>0</v>
          </cell>
          <cell r="I66">
            <v>0</v>
          </cell>
          <cell r="J66">
            <v>0</v>
          </cell>
        </row>
        <row r="67">
          <cell r="B67" t="str">
            <v>Curacao</v>
          </cell>
          <cell r="E67">
            <v>0</v>
          </cell>
          <cell r="F67">
            <v>0</v>
          </cell>
          <cell r="G67">
            <v>0</v>
          </cell>
          <cell r="H67">
            <v>0</v>
          </cell>
          <cell r="I67">
            <v>0</v>
          </cell>
          <cell r="J67">
            <v>0</v>
          </cell>
        </row>
        <row r="68">
          <cell r="B68" t="str">
            <v>Cyprus</v>
          </cell>
          <cell r="E68">
            <v>0</v>
          </cell>
          <cell r="F68">
            <v>0</v>
          </cell>
          <cell r="G68">
            <v>0</v>
          </cell>
          <cell r="H68">
            <v>0</v>
          </cell>
          <cell r="I68">
            <v>0</v>
          </cell>
          <cell r="J68">
            <v>0</v>
          </cell>
        </row>
        <row r="69">
          <cell r="B69" t="str">
            <v>Jersey</v>
          </cell>
          <cell r="E69">
            <v>0</v>
          </cell>
          <cell r="F69">
            <v>0</v>
          </cell>
          <cell r="G69">
            <v>0</v>
          </cell>
          <cell r="H69">
            <v>0</v>
          </cell>
          <cell r="I69">
            <v>0</v>
          </cell>
          <cell r="J69">
            <v>0</v>
          </cell>
        </row>
        <row r="70">
          <cell r="B70" t="str">
            <v>Grenada</v>
          </cell>
          <cell r="E70">
            <v>0</v>
          </cell>
          <cell r="F70">
            <v>0</v>
          </cell>
          <cell r="G70">
            <v>0</v>
          </cell>
          <cell r="H70">
            <v>0</v>
          </cell>
          <cell r="I70">
            <v>0</v>
          </cell>
          <cell r="J70">
            <v>0</v>
          </cell>
        </row>
        <row r="71">
          <cell r="B71" t="str">
            <v>Guernsey</v>
          </cell>
          <cell r="E71">
            <v>0</v>
          </cell>
          <cell r="F71">
            <v>0</v>
          </cell>
          <cell r="G71">
            <v>0</v>
          </cell>
          <cell r="H71">
            <v>0</v>
          </cell>
          <cell r="I71">
            <v>0</v>
          </cell>
          <cell r="J71">
            <v>0</v>
          </cell>
        </row>
        <row r="72">
          <cell r="B72" t="str">
            <v>Gribraltar</v>
          </cell>
          <cell r="E72">
            <v>0</v>
          </cell>
          <cell r="F72">
            <v>0</v>
          </cell>
          <cell r="G72">
            <v>0</v>
          </cell>
          <cell r="H72">
            <v>0</v>
          </cell>
          <cell r="I72">
            <v>0</v>
          </cell>
          <cell r="J72">
            <v>0</v>
          </cell>
        </row>
        <row r="73">
          <cell r="B73" t="str">
            <v>Hong Kong</v>
          </cell>
          <cell r="E73">
            <v>0</v>
          </cell>
          <cell r="F73">
            <v>0</v>
          </cell>
          <cell r="G73">
            <v>0</v>
          </cell>
          <cell r="H73">
            <v>0</v>
          </cell>
          <cell r="I73">
            <v>0</v>
          </cell>
          <cell r="J73">
            <v>0</v>
          </cell>
        </row>
        <row r="74">
          <cell r="B74" t="str">
            <v>Isle of man</v>
          </cell>
          <cell r="E74">
            <v>0</v>
          </cell>
          <cell r="F74">
            <v>0</v>
          </cell>
          <cell r="G74">
            <v>0</v>
          </cell>
          <cell r="H74">
            <v>0</v>
          </cell>
          <cell r="I74">
            <v>0</v>
          </cell>
          <cell r="J74">
            <v>0</v>
          </cell>
        </row>
        <row r="75">
          <cell r="B75" t="str">
            <v>Lebanon</v>
          </cell>
          <cell r="E75">
            <v>0</v>
          </cell>
          <cell r="F75">
            <v>0</v>
          </cell>
          <cell r="G75">
            <v>0</v>
          </cell>
          <cell r="H75">
            <v>0</v>
          </cell>
          <cell r="I75">
            <v>0</v>
          </cell>
          <cell r="J75">
            <v>0</v>
          </cell>
        </row>
        <row r="76">
          <cell r="B76" t="str">
            <v>Liechtenstein</v>
          </cell>
          <cell r="E76">
            <v>0</v>
          </cell>
          <cell r="F76">
            <v>0</v>
          </cell>
          <cell r="G76">
            <v>0</v>
          </cell>
          <cell r="H76">
            <v>0</v>
          </cell>
          <cell r="I76">
            <v>0</v>
          </cell>
          <cell r="J76">
            <v>0</v>
          </cell>
        </row>
        <row r="77">
          <cell r="B77" t="str">
            <v>Macau</v>
          </cell>
          <cell r="E77">
            <v>0</v>
          </cell>
          <cell r="F77">
            <v>0</v>
          </cell>
          <cell r="G77">
            <v>0</v>
          </cell>
          <cell r="H77">
            <v>0</v>
          </cell>
          <cell r="I77">
            <v>0</v>
          </cell>
          <cell r="J77">
            <v>0</v>
          </cell>
        </row>
        <row r="78">
          <cell r="B78" t="str">
            <v>Malta</v>
          </cell>
          <cell r="E78">
            <v>0</v>
          </cell>
          <cell r="F78">
            <v>0</v>
          </cell>
          <cell r="G78">
            <v>0</v>
          </cell>
          <cell r="H78">
            <v>0</v>
          </cell>
          <cell r="I78">
            <v>0</v>
          </cell>
          <cell r="J78">
            <v>0</v>
          </cell>
        </row>
        <row r="79">
          <cell r="B79" t="str">
            <v>Marshall Islands</v>
          </cell>
          <cell r="E79">
            <v>0</v>
          </cell>
          <cell r="F79">
            <v>0</v>
          </cell>
          <cell r="G79">
            <v>0</v>
          </cell>
          <cell r="H79">
            <v>0</v>
          </cell>
          <cell r="I79">
            <v>0</v>
          </cell>
          <cell r="J79">
            <v>0</v>
          </cell>
        </row>
        <row r="80">
          <cell r="B80" t="str">
            <v>Monaco</v>
          </cell>
          <cell r="E80">
            <v>0</v>
          </cell>
          <cell r="F80">
            <v>0</v>
          </cell>
          <cell r="G80">
            <v>0</v>
          </cell>
          <cell r="H80">
            <v>0</v>
          </cell>
          <cell r="I80">
            <v>0</v>
          </cell>
          <cell r="J80">
            <v>0</v>
          </cell>
        </row>
        <row r="81">
          <cell r="B81" t="str">
            <v>Sint Maarten</v>
          </cell>
          <cell r="E81">
            <v>0</v>
          </cell>
          <cell r="F81">
            <v>0</v>
          </cell>
          <cell r="G81">
            <v>0</v>
          </cell>
          <cell r="H81">
            <v>0</v>
          </cell>
          <cell r="I81">
            <v>0</v>
          </cell>
          <cell r="J81">
            <v>0</v>
          </cell>
        </row>
        <row r="82">
          <cell r="B82" t="str">
            <v>Mauritius</v>
          </cell>
          <cell r="E82">
            <v>0</v>
          </cell>
          <cell r="F82">
            <v>0</v>
          </cell>
          <cell r="G82">
            <v>0</v>
          </cell>
          <cell r="H82">
            <v>0</v>
          </cell>
          <cell r="I82">
            <v>0</v>
          </cell>
          <cell r="J82">
            <v>0</v>
          </cell>
        </row>
        <row r="83">
          <cell r="B83" t="str">
            <v>Seychelles</v>
          </cell>
          <cell r="E83">
            <v>0</v>
          </cell>
          <cell r="F83">
            <v>0</v>
          </cell>
          <cell r="G83">
            <v>0</v>
          </cell>
          <cell r="H83">
            <v>0</v>
          </cell>
          <cell r="I83">
            <v>0</v>
          </cell>
          <cell r="J83">
            <v>0</v>
          </cell>
        </row>
        <row r="84">
          <cell r="B84" t="str">
            <v>Singapore</v>
          </cell>
          <cell r="E84">
            <v>0</v>
          </cell>
          <cell r="F84">
            <v>0</v>
          </cell>
          <cell r="G84">
            <v>0</v>
          </cell>
          <cell r="H84">
            <v>0</v>
          </cell>
          <cell r="I84">
            <v>0</v>
          </cell>
          <cell r="J84">
            <v>0</v>
          </cell>
        </row>
        <row r="85">
          <cell r="B85" t="str">
            <v>St. Kitts and Nevis</v>
          </cell>
          <cell r="E85">
            <v>0</v>
          </cell>
          <cell r="F85">
            <v>0</v>
          </cell>
          <cell r="G85">
            <v>0</v>
          </cell>
          <cell r="H85">
            <v>0</v>
          </cell>
          <cell r="I85">
            <v>0</v>
          </cell>
          <cell r="J85">
            <v>0</v>
          </cell>
        </row>
        <row r="86">
          <cell r="B86" t="str">
            <v>St. Lucia</v>
          </cell>
          <cell r="E86">
            <v>0</v>
          </cell>
          <cell r="F86">
            <v>0</v>
          </cell>
          <cell r="G86">
            <v>0</v>
          </cell>
          <cell r="H86">
            <v>0</v>
          </cell>
          <cell r="I86">
            <v>0</v>
          </cell>
          <cell r="J86">
            <v>0</v>
          </cell>
        </row>
        <row r="87">
          <cell r="B87" t="str">
            <v>St. Vincent and the Grenadines</v>
          </cell>
          <cell r="E87">
            <v>0</v>
          </cell>
          <cell r="F87">
            <v>0</v>
          </cell>
          <cell r="G87">
            <v>0</v>
          </cell>
          <cell r="H87">
            <v>0</v>
          </cell>
          <cell r="I87">
            <v>0</v>
          </cell>
          <cell r="J87">
            <v>0</v>
          </cell>
        </row>
        <row r="88">
          <cell r="B88" t="str">
            <v>Turks and Caicos</v>
          </cell>
          <cell r="E88">
            <v>0</v>
          </cell>
          <cell r="F88">
            <v>0</v>
          </cell>
          <cell r="G88">
            <v>0</v>
          </cell>
          <cell r="H88">
            <v>0</v>
          </cell>
          <cell r="I88">
            <v>0</v>
          </cell>
          <cell r="J88">
            <v>0</v>
          </cell>
        </row>
        <row r="89">
          <cell r="B89" t="str">
            <v>Panama</v>
          </cell>
          <cell r="E89">
            <v>0</v>
          </cell>
          <cell r="F89">
            <v>0</v>
          </cell>
          <cell r="G89">
            <v>0</v>
          </cell>
          <cell r="H89">
            <v>0</v>
          </cell>
          <cell r="I89">
            <v>0</v>
          </cell>
          <cell r="J89">
            <v>0</v>
          </cell>
        </row>
        <row r="90">
          <cell r="B90" t="str">
            <v>Puerto Rico</v>
          </cell>
          <cell r="E90">
            <v>0</v>
          </cell>
          <cell r="F90">
            <v>0</v>
          </cell>
          <cell r="G90">
            <v>0</v>
          </cell>
          <cell r="H90">
            <v>0</v>
          </cell>
          <cell r="I90">
            <v>0</v>
          </cell>
          <cell r="J90">
            <v>0</v>
          </cell>
        </row>
        <row r="91">
          <cell r="B91" t="str">
            <v>Additional developing countries</v>
          </cell>
          <cell r="C91">
            <v>95.702725367999989</v>
          </cell>
          <cell r="E91">
            <v>6.6499878226394902</v>
          </cell>
          <cell r="F91">
            <v>2.3002102838852037</v>
          </cell>
          <cell r="G91">
            <v>4.3497775387542861</v>
          </cell>
          <cell r="K91">
            <v>6.9485877200139157E-2</v>
          </cell>
          <cell r="L91">
            <v>2.4034950677113344E-2</v>
          </cell>
          <cell r="M91">
            <v>4.5450926523025813E-2</v>
          </cell>
        </row>
        <row r="92">
          <cell r="B92" t="str">
            <v>Argentina</v>
          </cell>
          <cell r="C92">
            <v>15.988709651999999</v>
          </cell>
          <cell r="D92">
            <v>0.35</v>
          </cell>
          <cell r="E92">
            <v>0.87732627267391228</v>
          </cell>
          <cell r="F92">
            <v>0.3595345035743665</v>
          </cell>
          <cell r="G92">
            <v>0.51779176909954572</v>
          </cell>
          <cell r="K92">
            <v>5.4871612016806438E-2</v>
          </cell>
          <cell r="L92">
            <v>2.2486774192524848E-2</v>
          </cell>
          <cell r="M92">
            <v>3.2384837824281594E-2</v>
          </cell>
        </row>
        <row r="93">
          <cell r="B93" t="str">
            <v>Egypt</v>
          </cell>
          <cell r="C93">
            <v>16.178595305999998</v>
          </cell>
          <cell r="D93">
            <v>0.22500000000000001</v>
          </cell>
          <cell r="E93">
            <v>0.68573871186041957</v>
          </cell>
          <cell r="F93">
            <v>0.23112932372637848</v>
          </cell>
          <cell r="G93">
            <v>0.45460938813404106</v>
          </cell>
          <cell r="K93">
            <v>4.2385553188669371E-2</v>
          </cell>
          <cell r="L93">
            <v>1.4286118130457333E-2</v>
          </cell>
          <cell r="M93">
            <v>2.8099435058212038E-2</v>
          </cell>
        </row>
        <row r="94">
          <cell r="B94" t="str">
            <v>Indonesia</v>
          </cell>
          <cell r="C94">
            <v>21.502871950999999</v>
          </cell>
          <cell r="D94">
            <v>0.25</v>
          </cell>
          <cell r="E94">
            <v>1.76228459878857</v>
          </cell>
          <cell r="F94">
            <v>0.52885573956505849</v>
          </cell>
          <cell r="G94">
            <v>1.2334288592235114</v>
          </cell>
          <cell r="K94">
            <v>8.1955777944657957E-2</v>
          </cell>
          <cell r="L94">
            <v>2.4594656042699628E-2</v>
          </cell>
          <cell r="M94">
            <v>5.7361121901958328E-2</v>
          </cell>
        </row>
        <row r="95">
          <cell r="B95" t="str">
            <v>Malaysia</v>
          </cell>
          <cell r="C95">
            <v>17.387163060999999</v>
          </cell>
          <cell r="D95">
            <v>0.24</v>
          </cell>
          <cell r="E95">
            <v>0.91183617819182439</v>
          </cell>
          <cell r="F95">
            <v>0.27038718710367943</v>
          </cell>
          <cell r="G95">
            <v>0.6414489910881449</v>
          </cell>
          <cell r="K95">
            <v>5.2443068198808354E-2</v>
          </cell>
          <cell r="L95">
            <v>1.5550966316648122E-2</v>
          </cell>
          <cell r="M95">
            <v>3.689210188216023E-2</v>
          </cell>
        </row>
        <row r="96">
          <cell r="B96" t="str">
            <v>Nigeria</v>
          </cell>
          <cell r="C96">
            <v>3.8969999999999998</v>
          </cell>
          <cell r="D96">
            <v>0.3</v>
          </cell>
          <cell r="E96">
            <v>0.92506606815556947</v>
          </cell>
          <cell r="F96">
            <v>0.47389592808793135</v>
          </cell>
          <cell r="G96">
            <v>0.45117014006763811</v>
          </cell>
          <cell r="K96">
            <v>0.23737902698372326</v>
          </cell>
          <cell r="L96">
            <v>0.12160531898586897</v>
          </cell>
          <cell r="M96">
            <v>0.11577370799785429</v>
          </cell>
        </row>
        <row r="97">
          <cell r="B97" t="str">
            <v>Thailand</v>
          </cell>
          <cell r="C97">
            <v>17.257866362000001</v>
          </cell>
          <cell r="D97">
            <v>0.2</v>
          </cell>
          <cell r="E97">
            <v>0.94277337986718235</v>
          </cell>
          <cell r="F97">
            <v>0.19098549453940381</v>
          </cell>
          <cell r="G97">
            <v>0.75178788532777852</v>
          </cell>
          <cell r="K97">
            <v>5.4628617471686403E-2</v>
          </cell>
          <cell r="L97">
            <v>1.106657628082772E-2</v>
          </cell>
          <cell r="M97">
            <v>4.3562041190858679E-2</v>
          </cell>
        </row>
        <row r="98">
          <cell r="B98" t="str">
            <v>Uruguay</v>
          </cell>
          <cell r="C98">
            <v>1.5825524820000001</v>
          </cell>
          <cell r="D98">
            <v>0.25</v>
          </cell>
          <cell r="E98">
            <v>0.24966163147727838</v>
          </cell>
          <cell r="F98">
            <v>0.10368194475371344</v>
          </cell>
          <cell r="G98">
            <v>0.14597968672356493</v>
          </cell>
          <cell r="K98">
            <v>0.15775883221374162</v>
          </cell>
          <cell r="L98">
            <v>6.5515643830454301E-2</v>
          </cell>
          <cell r="M98">
            <v>9.2243188383287322E-2</v>
          </cell>
        </row>
        <row r="99">
          <cell r="B99" t="str">
            <v>Venezuela</v>
          </cell>
          <cell r="C99">
            <v>1.9079665540000001</v>
          </cell>
          <cell r="D99">
            <v>0.34</v>
          </cell>
          <cell r="E99">
            <v>0.29530098162473373</v>
          </cell>
          <cell r="F99">
            <v>0.14174016253467239</v>
          </cell>
          <cell r="G99">
            <v>0.15356081909006133</v>
          </cell>
          <cell r="K99">
            <v>0.15477261957535013</v>
          </cell>
          <cell r="L99">
            <v>7.428859915679234E-2</v>
          </cell>
          <cell r="M99">
            <v>8.0484020418557775E-2</v>
          </cell>
        </row>
        <row r="100">
          <cell r="B100" t="str">
            <v>Rest of World</v>
          </cell>
          <cell r="C100">
            <v>350.97734995561109</v>
          </cell>
          <cell r="D100">
            <v>0.23579999999999998</v>
          </cell>
          <cell r="E100">
            <v>18.975746101204717</v>
          </cell>
          <cell r="F100">
            <v>6.952782679062306</v>
          </cell>
          <cell r="G100">
            <v>12.022963422142411</v>
          </cell>
          <cell r="H100">
            <v>5.082384710051568</v>
          </cell>
          <cell r="I100">
            <v>0.63287903675392243</v>
          </cell>
          <cell r="J100">
            <v>4.4495056732976455</v>
          </cell>
          <cell r="K100">
            <v>5.4065443549575556E-2</v>
          </cell>
          <cell r="L100">
            <v>1.9809775986802683E-2</v>
          </cell>
          <cell r="M100">
            <v>3.4255667562772874E-2</v>
          </cell>
          <cell r="N100">
            <v>1.4480662956439636E-2</v>
          </cell>
          <cell r="O100">
            <v>1.8031905387454891E-3</v>
          </cell>
          <cell r="P100">
            <v>1.2677472417694147E-2</v>
          </cell>
        </row>
        <row r="101">
          <cell r="E101">
            <v>0</v>
          </cell>
          <cell r="F101">
            <v>0</v>
          </cell>
          <cell r="G101">
            <v>0</v>
          </cell>
          <cell r="H101">
            <v>0</v>
          </cell>
          <cell r="I101">
            <v>0</v>
          </cell>
          <cell r="J101">
            <v>0</v>
          </cell>
        </row>
        <row r="102">
          <cell r="B102" t="str">
            <v>Non-haven total</v>
          </cell>
          <cell r="C102">
            <v>2203.8193784951868</v>
          </cell>
          <cell r="E102">
            <v>194.55151429552814</v>
          </cell>
          <cell r="F102">
            <v>94.674764119924077</v>
          </cell>
          <cell r="G102">
            <v>99.876750175604059</v>
          </cell>
          <cell r="H102">
            <v>223.46350689496003</v>
          </cell>
          <cell r="I102">
            <v>119.28020461279766</v>
          </cell>
          <cell r="J102">
            <v>104.18330228216237</v>
          </cell>
          <cell r="K102">
            <v>8.8279246563469235E-2</v>
          </cell>
          <cell r="L102">
            <v>4.2959402682342301E-2</v>
          </cell>
          <cell r="M102">
            <v>4.5319843881126934E-2</v>
          </cell>
          <cell r="N102">
            <v>0.10139828566510996</v>
          </cell>
          <cell r="O102">
            <v>5.4124310629414939E-2</v>
          </cell>
          <cell r="P102">
            <v>4.7273975035695019E-2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list for MAP"/>
      <sheetName val="Winners"/>
      <sheetName val="Losers"/>
      <sheetName val="Example"/>
    </sheetNames>
    <sheetDataSet>
      <sheetData sheetId="0" refreshError="1"/>
      <sheetData sheetId="1">
        <row r="2">
          <cell r="C2" t="str">
            <v>[1]</v>
          </cell>
        </row>
        <row r="3">
          <cell r="C3" t="str">
            <v>Revenue collected on shifted profits, % of total revenue</v>
          </cell>
        </row>
        <row r="4">
          <cell r="B4" t="str">
            <v>Andorra</v>
          </cell>
          <cell r="C4">
            <v>0</v>
          </cell>
        </row>
        <row r="5">
          <cell r="B5" t="str">
            <v>Anguilla</v>
          </cell>
          <cell r="C5">
            <v>0.68231784679371332</v>
          </cell>
        </row>
        <row r="6">
          <cell r="B6" t="str">
            <v>Antigua and Barbuda</v>
          </cell>
          <cell r="C6">
            <v>0.90377821453197937</v>
          </cell>
        </row>
        <row r="7">
          <cell r="B7" t="str">
            <v>Aruba</v>
          </cell>
          <cell r="C7">
            <v>1</v>
          </cell>
        </row>
        <row r="8">
          <cell r="B8" t="str">
            <v>Bahamas, The</v>
          </cell>
          <cell r="C8">
            <v>1</v>
          </cell>
        </row>
        <row r="9">
          <cell r="B9" t="str">
            <v>Bahrain</v>
          </cell>
          <cell r="C9">
            <v>0.40080129387416996</v>
          </cell>
        </row>
        <row r="10">
          <cell r="B10" t="str">
            <v>Barbados</v>
          </cell>
          <cell r="C10">
            <v>0.97739996797315642</v>
          </cell>
        </row>
        <row r="11">
          <cell r="B11" t="str">
            <v>Belgium</v>
          </cell>
          <cell r="C11">
            <v>0.38099988981652727</v>
          </cell>
        </row>
        <row r="12">
          <cell r="B12" t="str">
            <v>Belize</v>
          </cell>
          <cell r="C12">
            <v>0.89344925306265399</v>
          </cell>
        </row>
        <row r="13">
          <cell r="B13" t="str">
            <v>Bermuda</v>
          </cell>
          <cell r="C13">
            <v>0.96025678295355266</v>
          </cell>
        </row>
        <row r="14">
          <cell r="B14" t="str">
            <v>Bonaire</v>
          </cell>
          <cell r="C14">
            <v>0.68231633447125228</v>
          </cell>
        </row>
        <row r="15">
          <cell r="B15" t="str">
            <v>British Virgin Islands</v>
          </cell>
          <cell r="C15">
            <v>1</v>
          </cell>
        </row>
        <row r="16">
          <cell r="B16" t="str">
            <v>Cayman Islands</v>
          </cell>
          <cell r="C16">
            <v>1</v>
          </cell>
        </row>
        <row r="17">
          <cell r="B17" t="str">
            <v>Curacao</v>
          </cell>
          <cell r="C17">
            <v>0.94721819526494411</v>
          </cell>
        </row>
        <row r="18">
          <cell r="B18" t="str">
            <v>Cyprus</v>
          </cell>
          <cell r="C18">
            <v>0.17327642818539724</v>
          </cell>
        </row>
        <row r="19">
          <cell r="B19" t="str">
            <v>Grenada</v>
          </cell>
          <cell r="C19">
            <v>0.8556403922843504</v>
          </cell>
        </row>
        <row r="20">
          <cell r="B20" t="str">
            <v>Gibraltar</v>
          </cell>
          <cell r="C20">
            <v>0.68231512331025612</v>
          </cell>
        </row>
        <row r="21">
          <cell r="B21" t="str">
            <v>Guernsey</v>
          </cell>
          <cell r="C21">
            <v>0.68231637956917668</v>
          </cell>
        </row>
        <row r="22">
          <cell r="B22" t="str">
            <v>Hong Kong</v>
          </cell>
          <cell r="C22">
            <v>0.40479447021325571</v>
          </cell>
        </row>
        <row r="23">
          <cell r="B23" t="str">
            <v>Ireland</v>
          </cell>
          <cell r="C23">
            <v>0.58715851999286683</v>
          </cell>
        </row>
        <row r="24">
          <cell r="B24" t="str">
            <v>Isle of man</v>
          </cell>
          <cell r="C24">
            <v>0.68231840550744527</v>
          </cell>
        </row>
        <row r="25">
          <cell r="B25" t="str">
            <v>Jersey</v>
          </cell>
          <cell r="C25">
            <v>0.88175920400224739</v>
          </cell>
        </row>
        <row r="26">
          <cell r="B26" t="str">
            <v>Lebanon</v>
          </cell>
          <cell r="C26">
            <v>0.25014998674786421</v>
          </cell>
        </row>
        <row r="27">
          <cell r="B27" t="str">
            <v>Liechtenstein</v>
          </cell>
          <cell r="C27">
            <v>0</v>
          </cell>
        </row>
        <row r="28">
          <cell r="B28" t="str">
            <v>Luxembourg</v>
          </cell>
          <cell r="C28">
            <v>0.56467834815512141</v>
          </cell>
        </row>
        <row r="29">
          <cell r="B29" t="str">
            <v>Macau</v>
          </cell>
          <cell r="C29">
            <v>0.55494963658097984</v>
          </cell>
        </row>
        <row r="30">
          <cell r="B30" t="str">
            <v>Malta</v>
          </cell>
          <cell r="C30">
            <v>0.2895980121960548</v>
          </cell>
        </row>
        <row r="31">
          <cell r="B31" t="str">
            <v>Marshall Islands</v>
          </cell>
          <cell r="C31">
            <v>0.50754673478061818</v>
          </cell>
        </row>
        <row r="32">
          <cell r="B32" t="str">
            <v>Mauritius</v>
          </cell>
          <cell r="C32">
            <v>0.96454421859015249</v>
          </cell>
        </row>
        <row r="33">
          <cell r="B33" t="str">
            <v>Monaco</v>
          </cell>
          <cell r="C33">
            <v>0.68749860470439217</v>
          </cell>
        </row>
        <row r="34">
          <cell r="B34" t="str">
            <v>Netherlands</v>
          </cell>
          <cell r="C34">
            <v>0.1936603197743251</v>
          </cell>
        </row>
        <row r="35">
          <cell r="B35" t="str">
            <v>Panama</v>
          </cell>
          <cell r="C35">
            <v>0.66781718075051755</v>
          </cell>
        </row>
        <row r="36">
          <cell r="B36" t="str">
            <v>Puerto Rico</v>
          </cell>
          <cell r="C36">
            <v>0.29648825031955883</v>
          </cell>
        </row>
        <row r="37">
          <cell r="B37" t="str">
            <v>Seychelles</v>
          </cell>
          <cell r="C37">
            <v>0.94682816510697798</v>
          </cell>
        </row>
        <row r="38">
          <cell r="B38" t="str">
            <v>Singapore</v>
          </cell>
          <cell r="C38">
            <v>0.29050537256504005</v>
          </cell>
        </row>
        <row r="39">
          <cell r="B39" t="str">
            <v>Sint Maarten</v>
          </cell>
          <cell r="C39">
            <v>0.68231569674034365</v>
          </cell>
        </row>
        <row r="40">
          <cell r="B40" t="str">
            <v>St. Kitts and Nevis</v>
          </cell>
          <cell r="C40">
            <v>0.79543202860339934</v>
          </cell>
        </row>
        <row r="41">
          <cell r="B41" t="str">
            <v>St. Lucia</v>
          </cell>
          <cell r="C41">
            <v>0.90453585629105815</v>
          </cell>
        </row>
        <row r="42">
          <cell r="B42" t="str">
            <v>St. Vincent and the Grenadines</v>
          </cell>
          <cell r="C42">
            <v>0.85595860883407882</v>
          </cell>
        </row>
        <row r="43">
          <cell r="B43" t="str">
            <v>Switzerland</v>
          </cell>
          <cell r="C43">
            <v>0.39353907427626916</v>
          </cell>
        </row>
        <row r="44">
          <cell r="B44" t="str">
            <v>Turks and Caicos</v>
          </cell>
          <cell r="C44">
            <v>0.70470801397793359</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ablesFigures"/>
      <sheetName val="Table1"/>
      <sheetName val="Table2"/>
      <sheetName val="Table3"/>
      <sheetName val="DataF3"/>
      <sheetName val="F3"/>
      <sheetName val="F3(details)"/>
      <sheetName val="DataF4"/>
      <sheetName val="F4a"/>
      <sheetName val="F4b"/>
      <sheetName val="F4c(online)"/>
      <sheetName val="DataF5"/>
      <sheetName val="F5a"/>
      <sheetName val="F5a(slides)"/>
      <sheetName val="F5b"/>
      <sheetName val="F5c"/>
      <sheetName val="DataF6a"/>
      <sheetName val="F6a"/>
      <sheetName val="F6a (2)"/>
      <sheetName val="DataF6b"/>
      <sheetName val="F6b"/>
      <sheetName val="F6c"/>
      <sheetName val="F6d"/>
      <sheetName val="DataF6d"/>
      <sheetName val="F6d(slides)"/>
      <sheetName val="DataF7"/>
      <sheetName val="F7a"/>
      <sheetName val="F7a(slides)"/>
      <sheetName val="F7b"/>
      <sheetName val="F7c"/>
      <sheetName val="DataF8a"/>
      <sheetName val="F8a"/>
      <sheetName val="Data F8b"/>
      <sheetName val="F8b"/>
      <sheetName val="Data F8c"/>
      <sheetName val="F8c"/>
      <sheetName val="DataF9"/>
      <sheetName val="F9a"/>
      <sheetName val="F9b"/>
      <sheetName val="F9c"/>
      <sheetName val="F9d"/>
      <sheetName val="F9e"/>
      <sheetName val="DataF10"/>
      <sheetName val="F10a"/>
      <sheetName val="F10b"/>
    </sheetNames>
    <sheetDataSet>
      <sheetData sheetId="0"/>
      <sheetData sheetId="1"/>
      <sheetData sheetId="2"/>
      <sheetData sheetId="3"/>
      <sheetData sheetId="4">
        <row r="2">
          <cell r="A2" t="str">
            <v>Luxembourg</v>
          </cell>
          <cell r="F2">
            <v>0.36081676937669838</v>
          </cell>
          <cell r="G2">
            <v>0.40461450275815142</v>
          </cell>
          <cell r="H2">
            <v>4.6076539817790847</v>
          </cell>
        </row>
        <row r="3">
          <cell r="A3" t="str">
            <v>Ireland</v>
          </cell>
          <cell r="G3">
            <v>0.68416351867003244</v>
          </cell>
          <cell r="H3">
            <v>7.9996490577609283</v>
          </cell>
        </row>
        <row r="4">
          <cell r="A4" t="str">
            <v>Puerto Rico</v>
          </cell>
          <cell r="G4">
            <v>0.47996308817683037</v>
          </cell>
          <cell r="H4">
            <v>16.745534629218685</v>
          </cell>
        </row>
        <row r="5">
          <cell r="A5" t="str">
            <v>Singapore</v>
          </cell>
          <cell r="G5">
            <v>0.47996308817683037</v>
          </cell>
          <cell r="H5">
            <v>2.1814755318098822</v>
          </cell>
        </row>
        <row r="6">
          <cell r="A6" t="str">
            <v>Hong Kong</v>
          </cell>
          <cell r="G6">
            <v>0.47996308817683037</v>
          </cell>
          <cell r="H6">
            <v>2.1348906384735855</v>
          </cell>
        </row>
        <row r="7">
          <cell r="A7" t="str">
            <v>Netherlands</v>
          </cell>
          <cell r="G7">
            <v>0.41153378760859277</v>
          </cell>
          <cell r="H7">
            <v>1.1495705968665206</v>
          </cell>
        </row>
        <row r="8">
          <cell r="A8" t="str">
            <v>Belgium</v>
          </cell>
          <cell r="G8">
            <v>0.4031489417707429</v>
          </cell>
          <cell r="H8">
            <v>0.67980103327038299</v>
          </cell>
        </row>
        <row r="9">
          <cell r="A9" t="str">
            <v>Germany</v>
          </cell>
          <cell r="G9">
            <v>0.51589201053413136</v>
          </cell>
          <cell r="H9">
            <v>0.18304850872360104</v>
          </cell>
        </row>
        <row r="16">
          <cell r="G16">
            <v>0.11438915202699569</v>
          </cell>
          <cell r="H16">
            <v>3.1934639833073937</v>
          </cell>
        </row>
      </sheetData>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cell r="B1"/>
          <cell r="C1"/>
        </row>
        <row r="2">
          <cell r="A2" t="str">
            <v>Aruba</v>
          </cell>
          <cell r="B2">
            <v>314</v>
          </cell>
          <cell r="C2" t="str">
            <v>ABW</v>
          </cell>
        </row>
        <row r="3">
          <cell r="A3" t="str">
            <v>Afghanistan, Islamic Republic of</v>
          </cell>
          <cell r="B3">
            <v>512</v>
          </cell>
          <cell r="C3" t="str">
            <v>AFG</v>
          </cell>
        </row>
        <row r="4">
          <cell r="A4" t="str">
            <v>Angola</v>
          </cell>
          <cell r="B4">
            <v>614</v>
          </cell>
          <cell r="C4" t="str">
            <v>AGO</v>
          </cell>
        </row>
        <row r="5">
          <cell r="A5" t="str">
            <v>Anguilla</v>
          </cell>
          <cell r="B5">
            <v>312</v>
          </cell>
          <cell r="C5" t="str">
            <v>AIA</v>
          </cell>
        </row>
        <row r="6">
          <cell r="A6" t="str">
            <v>Albania</v>
          </cell>
          <cell r="B6">
            <v>914</v>
          </cell>
          <cell r="C6" t="str">
            <v>ALB</v>
          </cell>
        </row>
        <row r="7">
          <cell r="A7" t="str">
            <v>Netherlands Antilles</v>
          </cell>
          <cell r="B7">
            <v>353</v>
          </cell>
          <cell r="C7" t="str">
            <v>ANT</v>
          </cell>
        </row>
        <row r="8">
          <cell r="A8" t="str">
            <v>Argentina</v>
          </cell>
          <cell r="B8">
            <v>213</v>
          </cell>
          <cell r="C8" t="str">
            <v>ARG</v>
          </cell>
        </row>
        <row r="9">
          <cell r="A9" t="str">
            <v>Armenia, Republic of</v>
          </cell>
          <cell r="B9">
            <v>911</v>
          </cell>
          <cell r="C9" t="str">
            <v>ARM</v>
          </cell>
        </row>
        <row r="10">
          <cell r="A10" t="str">
            <v>Antigua and Barbuda</v>
          </cell>
          <cell r="B10">
            <v>311</v>
          </cell>
          <cell r="C10" t="str">
            <v>ATG</v>
          </cell>
        </row>
        <row r="11">
          <cell r="A11" t="str">
            <v>Australia</v>
          </cell>
          <cell r="B11">
            <v>193</v>
          </cell>
          <cell r="C11" t="str">
            <v>AUS</v>
          </cell>
        </row>
        <row r="12">
          <cell r="A12" t="str">
            <v>Austria</v>
          </cell>
          <cell r="B12">
            <v>122</v>
          </cell>
          <cell r="C12" t="str">
            <v>AUT</v>
          </cell>
        </row>
        <row r="13">
          <cell r="A13" t="str">
            <v>Azerbaijan, Republic of</v>
          </cell>
          <cell r="B13">
            <v>912</v>
          </cell>
          <cell r="C13" t="str">
            <v>AZE</v>
          </cell>
        </row>
        <row r="14">
          <cell r="A14" t="str">
            <v>Burundi</v>
          </cell>
          <cell r="B14">
            <v>618</v>
          </cell>
          <cell r="C14" t="str">
            <v>BDI</v>
          </cell>
        </row>
        <row r="15">
          <cell r="A15" t="str">
            <v>Belgium</v>
          </cell>
          <cell r="B15">
            <v>124</v>
          </cell>
          <cell r="C15" t="str">
            <v>BEL</v>
          </cell>
        </row>
        <row r="16">
          <cell r="A16" t="str">
            <v>Benin</v>
          </cell>
          <cell r="B16">
            <v>638</v>
          </cell>
          <cell r="C16" t="str">
            <v>BEN</v>
          </cell>
        </row>
        <row r="17">
          <cell r="A17" t="str">
            <v>Burkina Faso</v>
          </cell>
          <cell r="B17">
            <v>748</v>
          </cell>
          <cell r="C17" t="str">
            <v>BFA</v>
          </cell>
        </row>
        <row r="18">
          <cell r="A18" t="str">
            <v>Bangladesh</v>
          </cell>
          <cell r="B18">
            <v>513</v>
          </cell>
          <cell r="C18" t="str">
            <v>BGD</v>
          </cell>
        </row>
        <row r="19">
          <cell r="A19" t="str">
            <v>Bulgaria</v>
          </cell>
          <cell r="B19">
            <v>918</v>
          </cell>
          <cell r="C19" t="str">
            <v>BGR</v>
          </cell>
        </row>
        <row r="20">
          <cell r="A20" t="str">
            <v>Bahrain, Kingdom of</v>
          </cell>
          <cell r="B20">
            <v>419</v>
          </cell>
          <cell r="C20" t="str">
            <v>BHR</v>
          </cell>
        </row>
        <row r="21">
          <cell r="A21" t="str">
            <v>Bahamas, The</v>
          </cell>
          <cell r="B21">
            <v>313</v>
          </cell>
          <cell r="C21" t="str">
            <v>BHS</v>
          </cell>
        </row>
        <row r="22">
          <cell r="A22" t="str">
            <v>Bosnia and Herzegovina</v>
          </cell>
          <cell r="B22">
            <v>963</v>
          </cell>
          <cell r="C22" t="str">
            <v>BIH</v>
          </cell>
        </row>
        <row r="23">
          <cell r="A23" t="str">
            <v>Belarus</v>
          </cell>
          <cell r="B23">
            <v>913</v>
          </cell>
          <cell r="C23" t="str">
            <v>BLR</v>
          </cell>
        </row>
        <row r="24">
          <cell r="A24" t="str">
            <v>Belize</v>
          </cell>
          <cell r="B24">
            <v>339</v>
          </cell>
          <cell r="C24" t="str">
            <v>BLZ</v>
          </cell>
        </row>
        <row r="25">
          <cell r="A25" t="str">
            <v>Bermuda</v>
          </cell>
          <cell r="B25">
            <v>319</v>
          </cell>
          <cell r="C25" t="str">
            <v>BMU</v>
          </cell>
        </row>
        <row r="26">
          <cell r="A26" t="str">
            <v>Bolivia</v>
          </cell>
          <cell r="B26">
            <v>218</v>
          </cell>
          <cell r="C26" t="str">
            <v>BOL</v>
          </cell>
        </row>
        <row r="27">
          <cell r="A27" t="str">
            <v>Brazil</v>
          </cell>
          <cell r="B27">
            <v>223</v>
          </cell>
          <cell r="C27" t="str">
            <v>BRA</v>
          </cell>
        </row>
        <row r="28">
          <cell r="A28" t="str">
            <v>Barbados</v>
          </cell>
          <cell r="B28">
            <v>316</v>
          </cell>
          <cell r="C28" t="str">
            <v>BRB</v>
          </cell>
        </row>
        <row r="29">
          <cell r="A29" t="str">
            <v>Brunei Darussalam</v>
          </cell>
          <cell r="B29">
            <v>516</v>
          </cell>
          <cell r="C29" t="str">
            <v>BRN</v>
          </cell>
        </row>
        <row r="30">
          <cell r="A30" t="str">
            <v>Bhutan</v>
          </cell>
          <cell r="B30">
            <v>514</v>
          </cell>
          <cell r="C30" t="str">
            <v>BTN</v>
          </cell>
        </row>
        <row r="31">
          <cell r="A31" t="str">
            <v>Botswana</v>
          </cell>
          <cell r="B31">
            <v>616</v>
          </cell>
          <cell r="C31" t="str">
            <v>BWA</v>
          </cell>
        </row>
        <row r="32">
          <cell r="A32" t="str">
            <v>Canada</v>
          </cell>
          <cell r="B32">
            <v>156</v>
          </cell>
          <cell r="C32" t="str">
            <v>CAN</v>
          </cell>
        </row>
        <row r="33">
          <cell r="A33" t="str">
            <v>Switzerland</v>
          </cell>
          <cell r="B33">
            <v>146</v>
          </cell>
          <cell r="C33" t="str">
            <v>CHE</v>
          </cell>
        </row>
        <row r="34">
          <cell r="A34" t="str">
            <v>Chile</v>
          </cell>
          <cell r="B34">
            <v>228</v>
          </cell>
          <cell r="C34" t="str">
            <v>CHL</v>
          </cell>
        </row>
        <row r="35">
          <cell r="A35" t="str">
            <v>China, P.R.: Mainland</v>
          </cell>
          <cell r="B35">
            <v>924</v>
          </cell>
          <cell r="C35" t="str">
            <v>CHN</v>
          </cell>
        </row>
        <row r="36">
          <cell r="A36" t="str">
            <v>Cote d'Ivoire</v>
          </cell>
          <cell r="B36">
            <v>662</v>
          </cell>
          <cell r="C36" t="str">
            <v>CIV</v>
          </cell>
        </row>
        <row r="37">
          <cell r="A37" t="str">
            <v>Cameroon</v>
          </cell>
          <cell r="B37">
            <v>622</v>
          </cell>
          <cell r="C37" t="str">
            <v>CMR</v>
          </cell>
        </row>
        <row r="38">
          <cell r="A38" t="str">
            <v>Congo, Democratic Republic of</v>
          </cell>
          <cell r="B38">
            <v>636</v>
          </cell>
          <cell r="C38" t="str">
            <v>COD</v>
          </cell>
        </row>
        <row r="39">
          <cell r="A39" t="str">
            <v>Congo, Republic of</v>
          </cell>
          <cell r="B39">
            <v>634</v>
          </cell>
          <cell r="C39" t="str">
            <v>COG</v>
          </cell>
        </row>
        <row r="40">
          <cell r="A40" t="str">
            <v>Colombia</v>
          </cell>
          <cell r="B40">
            <v>233</v>
          </cell>
          <cell r="C40" t="str">
            <v>COL</v>
          </cell>
        </row>
        <row r="41">
          <cell r="A41" t="str">
            <v>Comoros</v>
          </cell>
          <cell r="B41">
            <v>632</v>
          </cell>
          <cell r="C41" t="str">
            <v>COM</v>
          </cell>
        </row>
        <row r="42">
          <cell r="A42" t="str">
            <v>Cabo Verde</v>
          </cell>
          <cell r="B42">
            <v>624</v>
          </cell>
          <cell r="C42" t="str">
            <v>CPV</v>
          </cell>
        </row>
        <row r="43">
          <cell r="A43" t="str">
            <v>Costa Rica</v>
          </cell>
          <cell r="B43">
            <v>238</v>
          </cell>
          <cell r="C43" t="str">
            <v>CRI</v>
          </cell>
        </row>
        <row r="44">
          <cell r="A44" t="str">
            <v>Cyprus</v>
          </cell>
          <cell r="B44">
            <v>423</v>
          </cell>
          <cell r="C44" t="str">
            <v>CYP</v>
          </cell>
        </row>
        <row r="45">
          <cell r="A45" t="str">
            <v>Czech Republic</v>
          </cell>
          <cell r="B45">
            <v>935</v>
          </cell>
          <cell r="C45" t="str">
            <v>CZE</v>
          </cell>
        </row>
        <row r="46">
          <cell r="A46" t="str">
            <v>Germany</v>
          </cell>
          <cell r="B46">
            <v>134</v>
          </cell>
          <cell r="C46" t="str">
            <v>DEU</v>
          </cell>
        </row>
        <row r="47">
          <cell r="A47" t="str">
            <v>Djibouti</v>
          </cell>
          <cell r="B47">
            <v>611</v>
          </cell>
          <cell r="C47" t="str">
            <v>DJI</v>
          </cell>
        </row>
        <row r="48">
          <cell r="A48" t="str">
            <v>Dominica</v>
          </cell>
          <cell r="B48">
            <v>321</v>
          </cell>
          <cell r="C48" t="str">
            <v>DMA</v>
          </cell>
        </row>
        <row r="49">
          <cell r="A49" t="str">
            <v>Denmark</v>
          </cell>
          <cell r="B49">
            <v>128</v>
          </cell>
          <cell r="C49" t="str">
            <v>DNK</v>
          </cell>
        </row>
        <row r="50">
          <cell r="A50" t="str">
            <v>Dominican Republic</v>
          </cell>
          <cell r="B50">
            <v>243</v>
          </cell>
          <cell r="C50" t="str">
            <v>DOM</v>
          </cell>
        </row>
        <row r="51">
          <cell r="A51" t="str">
            <v>Algeria</v>
          </cell>
          <cell r="B51">
            <v>612</v>
          </cell>
          <cell r="C51" t="str">
            <v>DZA</v>
          </cell>
        </row>
        <row r="52">
          <cell r="A52" t="str">
            <v>Ecuador</v>
          </cell>
          <cell r="B52">
            <v>248</v>
          </cell>
          <cell r="C52" t="str">
            <v>ECU</v>
          </cell>
        </row>
        <row r="53">
          <cell r="A53" t="str">
            <v>Egypt</v>
          </cell>
          <cell r="B53">
            <v>469</v>
          </cell>
          <cell r="C53" t="str">
            <v>EGY</v>
          </cell>
        </row>
        <row r="54">
          <cell r="A54" t="str">
            <v>Eritrea</v>
          </cell>
          <cell r="B54">
            <v>643</v>
          </cell>
          <cell r="C54" t="str">
            <v>ERI</v>
          </cell>
        </row>
        <row r="55">
          <cell r="A55" t="str">
            <v>Spain</v>
          </cell>
          <cell r="B55">
            <v>184</v>
          </cell>
          <cell r="C55" t="str">
            <v>ESP</v>
          </cell>
        </row>
        <row r="56">
          <cell r="A56" t="str">
            <v>Estonia</v>
          </cell>
          <cell r="B56">
            <v>939</v>
          </cell>
          <cell r="C56" t="str">
            <v>EST</v>
          </cell>
        </row>
        <row r="57">
          <cell r="A57" t="str">
            <v>Ethiopia</v>
          </cell>
          <cell r="B57">
            <v>644</v>
          </cell>
          <cell r="C57" t="str">
            <v>ETH</v>
          </cell>
        </row>
        <row r="58">
          <cell r="A58" t="str">
            <v>Finland</v>
          </cell>
          <cell r="B58">
            <v>172</v>
          </cell>
          <cell r="C58" t="str">
            <v>FIN</v>
          </cell>
        </row>
        <row r="59">
          <cell r="A59" t="str">
            <v>Fiji</v>
          </cell>
          <cell r="B59">
            <v>819</v>
          </cell>
          <cell r="C59" t="str">
            <v>FJI</v>
          </cell>
        </row>
        <row r="60">
          <cell r="A60" t="str">
            <v>France</v>
          </cell>
          <cell r="B60">
            <v>132</v>
          </cell>
          <cell r="C60" t="str">
            <v>FRA</v>
          </cell>
        </row>
        <row r="61">
          <cell r="A61" t="str">
            <v>Faroe Islands</v>
          </cell>
          <cell r="B61">
            <v>816</v>
          </cell>
          <cell r="C61" t="str">
            <v>FRO</v>
          </cell>
        </row>
        <row r="62">
          <cell r="A62" t="str">
            <v>Micronesia, Federated States of</v>
          </cell>
          <cell r="B62">
            <v>868</v>
          </cell>
          <cell r="C62" t="str">
            <v>FSM</v>
          </cell>
        </row>
        <row r="63">
          <cell r="A63" t="str">
            <v>Gabon</v>
          </cell>
          <cell r="B63">
            <v>646</v>
          </cell>
          <cell r="C63" t="str">
            <v>GAB</v>
          </cell>
        </row>
        <row r="64">
          <cell r="A64" t="str">
            <v>United Kingdom</v>
          </cell>
          <cell r="B64">
            <v>112</v>
          </cell>
          <cell r="C64" t="str">
            <v>GBR</v>
          </cell>
        </row>
        <row r="65">
          <cell r="A65" t="str">
            <v>Georgia</v>
          </cell>
          <cell r="B65">
            <v>915</v>
          </cell>
          <cell r="C65" t="str">
            <v>GEO</v>
          </cell>
        </row>
        <row r="66">
          <cell r="A66" t="str">
            <v>Ghana</v>
          </cell>
          <cell r="B66">
            <v>652</v>
          </cell>
          <cell r="C66" t="str">
            <v>GHA</v>
          </cell>
        </row>
        <row r="67">
          <cell r="A67" t="str">
            <v>Guinea</v>
          </cell>
          <cell r="B67">
            <v>656</v>
          </cell>
          <cell r="C67" t="str">
            <v>GIN</v>
          </cell>
        </row>
        <row r="68">
          <cell r="A68" t="str">
            <v>Gambia, The</v>
          </cell>
          <cell r="B68">
            <v>648</v>
          </cell>
          <cell r="C68" t="str">
            <v>GMB</v>
          </cell>
        </row>
        <row r="69">
          <cell r="A69" t="str">
            <v>Guinea-Bissau</v>
          </cell>
          <cell r="B69">
            <v>654</v>
          </cell>
          <cell r="C69" t="str">
            <v>GNB</v>
          </cell>
        </row>
        <row r="70">
          <cell r="A70" t="str">
            <v>Greece</v>
          </cell>
          <cell r="B70">
            <v>174</v>
          </cell>
          <cell r="C70" t="str">
            <v>GRC</v>
          </cell>
        </row>
        <row r="71">
          <cell r="A71" t="str">
            <v>Grenada</v>
          </cell>
          <cell r="B71">
            <v>328</v>
          </cell>
          <cell r="C71" t="str">
            <v>GRD</v>
          </cell>
        </row>
        <row r="72">
          <cell r="A72" t="str">
            <v>Guatemala</v>
          </cell>
          <cell r="B72">
            <v>258</v>
          </cell>
          <cell r="C72" t="str">
            <v>GTM</v>
          </cell>
        </row>
        <row r="73">
          <cell r="A73" t="str">
            <v>Guyana</v>
          </cell>
          <cell r="B73">
            <v>336</v>
          </cell>
          <cell r="C73" t="str">
            <v>GUY</v>
          </cell>
        </row>
        <row r="74">
          <cell r="A74" t="str">
            <v>China, P.R.: Hong Kong</v>
          </cell>
          <cell r="B74">
            <v>532</v>
          </cell>
          <cell r="C74" t="str">
            <v>HKG</v>
          </cell>
        </row>
        <row r="75">
          <cell r="A75" t="str">
            <v>Honduras</v>
          </cell>
          <cell r="B75">
            <v>268</v>
          </cell>
          <cell r="C75" t="str">
            <v>HND</v>
          </cell>
        </row>
        <row r="76">
          <cell r="A76" t="str">
            <v>Croatia</v>
          </cell>
          <cell r="B76">
            <v>960</v>
          </cell>
          <cell r="C76" t="str">
            <v>HRV</v>
          </cell>
        </row>
        <row r="77">
          <cell r="A77" t="str">
            <v>Haiti</v>
          </cell>
          <cell r="B77">
            <v>263</v>
          </cell>
          <cell r="C77" t="str">
            <v>HTI</v>
          </cell>
        </row>
        <row r="78">
          <cell r="A78" t="str">
            <v>Hungary</v>
          </cell>
          <cell r="B78">
            <v>944</v>
          </cell>
          <cell r="C78" t="str">
            <v>HUN</v>
          </cell>
        </row>
        <row r="79">
          <cell r="A79" t="str">
            <v>Indonesia</v>
          </cell>
          <cell r="B79">
            <v>536</v>
          </cell>
          <cell r="C79" t="str">
            <v>IDN</v>
          </cell>
        </row>
        <row r="80">
          <cell r="A80" t="str">
            <v>India</v>
          </cell>
          <cell r="B80">
            <v>534</v>
          </cell>
          <cell r="C80" t="str">
            <v>IND</v>
          </cell>
        </row>
        <row r="81">
          <cell r="A81" t="str">
            <v>Ireland</v>
          </cell>
          <cell r="B81">
            <v>178</v>
          </cell>
          <cell r="C81" t="str">
            <v>IRL</v>
          </cell>
        </row>
        <row r="82">
          <cell r="A82" t="str">
            <v>Iran, Islamic Republic of</v>
          </cell>
          <cell r="B82">
            <v>429</v>
          </cell>
          <cell r="C82" t="str">
            <v>IRN</v>
          </cell>
        </row>
        <row r="83">
          <cell r="A83" t="str">
            <v>Iraq</v>
          </cell>
          <cell r="B83">
            <v>433</v>
          </cell>
          <cell r="C83" t="str">
            <v>IRQ</v>
          </cell>
        </row>
        <row r="84">
          <cell r="A84" t="str">
            <v>Iceland</v>
          </cell>
          <cell r="B84">
            <v>176</v>
          </cell>
          <cell r="C84" t="str">
            <v>ISL</v>
          </cell>
        </row>
        <row r="85">
          <cell r="A85" t="str">
            <v>Israel</v>
          </cell>
          <cell r="B85">
            <v>436</v>
          </cell>
          <cell r="C85" t="str">
            <v>ISR</v>
          </cell>
        </row>
        <row r="86">
          <cell r="A86" t="str">
            <v>Italy</v>
          </cell>
          <cell r="B86">
            <v>136</v>
          </cell>
          <cell r="C86" t="str">
            <v>ITA</v>
          </cell>
        </row>
        <row r="87">
          <cell r="A87" t="str">
            <v>Jamaica</v>
          </cell>
          <cell r="B87">
            <v>343</v>
          </cell>
          <cell r="C87" t="str">
            <v>JAM</v>
          </cell>
        </row>
        <row r="88">
          <cell r="A88" t="str">
            <v>Jordan</v>
          </cell>
          <cell r="B88">
            <v>439</v>
          </cell>
          <cell r="C88" t="str">
            <v>JOR</v>
          </cell>
        </row>
        <row r="89">
          <cell r="A89" t="str">
            <v>Japan</v>
          </cell>
          <cell r="B89">
            <v>158</v>
          </cell>
          <cell r="C89" t="str">
            <v>JPN</v>
          </cell>
        </row>
        <row r="90">
          <cell r="A90" t="str">
            <v>Kazakhstan</v>
          </cell>
          <cell r="B90">
            <v>916</v>
          </cell>
          <cell r="C90" t="str">
            <v>KAZ</v>
          </cell>
        </row>
        <row r="91">
          <cell r="A91" t="str">
            <v>Kenya</v>
          </cell>
          <cell r="B91">
            <v>664</v>
          </cell>
          <cell r="C91" t="str">
            <v>KEN</v>
          </cell>
        </row>
        <row r="92">
          <cell r="A92" t="str">
            <v>Kyrgyz Republic</v>
          </cell>
          <cell r="B92">
            <v>917</v>
          </cell>
          <cell r="C92" t="str">
            <v>KGZ</v>
          </cell>
        </row>
        <row r="93">
          <cell r="A93" t="str">
            <v>Cambodia</v>
          </cell>
          <cell r="B93">
            <v>522</v>
          </cell>
          <cell r="C93" t="str">
            <v>KHM</v>
          </cell>
        </row>
        <row r="94">
          <cell r="A94" t="str">
            <v>Kiribati</v>
          </cell>
          <cell r="B94">
            <v>826</v>
          </cell>
          <cell r="C94" t="str">
            <v>KIR</v>
          </cell>
        </row>
        <row r="95">
          <cell r="A95" t="str">
            <v>St. Kitts and Nevis</v>
          </cell>
          <cell r="B95">
            <v>361</v>
          </cell>
          <cell r="C95" t="str">
            <v>KNA</v>
          </cell>
        </row>
        <row r="96">
          <cell r="A96" t="str">
            <v>Korea, Republic of</v>
          </cell>
          <cell r="B96">
            <v>542</v>
          </cell>
          <cell r="C96" t="str">
            <v>KOR</v>
          </cell>
        </row>
        <row r="97">
          <cell r="A97" t="str">
            <v>Kuwait</v>
          </cell>
          <cell r="B97">
            <v>443</v>
          </cell>
          <cell r="C97" t="str">
            <v>KWT</v>
          </cell>
        </row>
        <row r="98">
          <cell r="A98" t="str">
            <v>Lao People's Democratic Republic</v>
          </cell>
          <cell r="B98">
            <v>544</v>
          </cell>
          <cell r="C98" t="str">
            <v>LAO</v>
          </cell>
        </row>
        <row r="99">
          <cell r="A99" t="str">
            <v>Lebanon</v>
          </cell>
          <cell r="B99">
            <v>446</v>
          </cell>
          <cell r="C99" t="str">
            <v>LBN</v>
          </cell>
        </row>
        <row r="100">
          <cell r="A100" t="str">
            <v>Liberia</v>
          </cell>
          <cell r="B100">
            <v>668</v>
          </cell>
          <cell r="C100" t="str">
            <v>LBR</v>
          </cell>
        </row>
        <row r="101">
          <cell r="A101" t="str">
            <v>Libya</v>
          </cell>
          <cell r="B101">
            <v>672</v>
          </cell>
          <cell r="C101" t="str">
            <v>LBY</v>
          </cell>
        </row>
        <row r="102">
          <cell r="A102" t="str">
            <v>St. Lucia</v>
          </cell>
          <cell r="B102">
            <v>362</v>
          </cell>
          <cell r="C102" t="str">
            <v>LCA</v>
          </cell>
        </row>
        <row r="103">
          <cell r="A103" t="str">
            <v>Sri Lanka</v>
          </cell>
          <cell r="B103">
            <v>524</v>
          </cell>
          <cell r="C103" t="str">
            <v>LKA</v>
          </cell>
        </row>
        <row r="104">
          <cell r="A104" t="str">
            <v>Lesotho</v>
          </cell>
          <cell r="B104">
            <v>666</v>
          </cell>
          <cell r="C104" t="str">
            <v>LSO</v>
          </cell>
        </row>
        <row r="105">
          <cell r="A105" t="str">
            <v>Lithuania</v>
          </cell>
          <cell r="B105">
            <v>946</v>
          </cell>
          <cell r="C105" t="str">
            <v>LTU</v>
          </cell>
        </row>
        <row r="106">
          <cell r="A106" t="str">
            <v>Luxembourg</v>
          </cell>
          <cell r="B106">
            <v>137</v>
          </cell>
          <cell r="C106" t="str">
            <v>LUX</v>
          </cell>
        </row>
        <row r="107">
          <cell r="A107" t="str">
            <v>Latvia</v>
          </cell>
          <cell r="B107">
            <v>941</v>
          </cell>
          <cell r="C107" t="str">
            <v>LVA</v>
          </cell>
        </row>
        <row r="108">
          <cell r="A108" t="str">
            <v>China, P.R.: Macao</v>
          </cell>
          <cell r="B108">
            <v>546</v>
          </cell>
          <cell r="C108" t="str">
            <v>MAC</v>
          </cell>
        </row>
        <row r="109">
          <cell r="A109" t="str">
            <v>Morocco</v>
          </cell>
          <cell r="B109">
            <v>686</v>
          </cell>
          <cell r="C109" t="str">
            <v>MAR</v>
          </cell>
        </row>
        <row r="110">
          <cell r="A110" t="str">
            <v>Moldova</v>
          </cell>
          <cell r="B110">
            <v>921</v>
          </cell>
          <cell r="C110" t="str">
            <v>MDA</v>
          </cell>
        </row>
        <row r="111">
          <cell r="A111" t="str">
            <v>Madagascar</v>
          </cell>
          <cell r="B111">
            <v>674</v>
          </cell>
          <cell r="C111" t="str">
            <v>MDG</v>
          </cell>
        </row>
        <row r="112">
          <cell r="A112" t="str">
            <v>Maldives</v>
          </cell>
          <cell r="B112">
            <v>556</v>
          </cell>
          <cell r="C112" t="str">
            <v>MDV</v>
          </cell>
        </row>
        <row r="113">
          <cell r="A113" t="str">
            <v>Mexico</v>
          </cell>
          <cell r="B113">
            <v>273</v>
          </cell>
          <cell r="C113" t="str">
            <v>MEX</v>
          </cell>
        </row>
        <row r="114">
          <cell r="A114" t="str">
            <v>Marshall Islands, Republic of</v>
          </cell>
          <cell r="B114">
            <v>867</v>
          </cell>
          <cell r="C114" t="str">
            <v>MHL</v>
          </cell>
        </row>
        <row r="115">
          <cell r="A115" t="str">
            <v>North Macedonia, Republic of</v>
          </cell>
          <cell r="B115">
            <v>962</v>
          </cell>
          <cell r="C115" t="str">
            <v>MKD</v>
          </cell>
        </row>
        <row r="116">
          <cell r="A116" t="str">
            <v>Mali</v>
          </cell>
          <cell r="B116">
            <v>678</v>
          </cell>
          <cell r="C116" t="str">
            <v>MLI</v>
          </cell>
        </row>
        <row r="117">
          <cell r="A117" t="str">
            <v>Malta</v>
          </cell>
          <cell r="B117">
            <v>181</v>
          </cell>
          <cell r="C117" t="str">
            <v>MLT</v>
          </cell>
        </row>
        <row r="118">
          <cell r="A118" t="str">
            <v>Myanmar</v>
          </cell>
          <cell r="B118">
            <v>518</v>
          </cell>
          <cell r="C118" t="str">
            <v>MMR</v>
          </cell>
        </row>
        <row r="119">
          <cell r="A119" t="str">
            <v>Montenegro</v>
          </cell>
          <cell r="B119">
            <v>943</v>
          </cell>
          <cell r="C119" t="str">
            <v>MNE</v>
          </cell>
        </row>
        <row r="120">
          <cell r="A120" t="str">
            <v>Mongolia</v>
          </cell>
          <cell r="B120">
            <v>948</v>
          </cell>
          <cell r="C120" t="str">
            <v>MNG</v>
          </cell>
        </row>
        <row r="121">
          <cell r="A121" t="str">
            <v>Mozambique</v>
          </cell>
          <cell r="B121">
            <v>688</v>
          </cell>
          <cell r="C121" t="str">
            <v>MOZ</v>
          </cell>
        </row>
        <row r="122">
          <cell r="A122" t="str">
            <v>Mauritania</v>
          </cell>
          <cell r="B122">
            <v>682</v>
          </cell>
          <cell r="C122" t="str">
            <v>MRT</v>
          </cell>
        </row>
        <row r="123">
          <cell r="A123" t="str">
            <v>Montserrat</v>
          </cell>
          <cell r="B123">
            <v>351</v>
          </cell>
          <cell r="C123" t="str">
            <v>MSR</v>
          </cell>
        </row>
        <row r="124">
          <cell r="A124" t="str">
            <v>Mauritius</v>
          </cell>
          <cell r="B124">
            <v>684</v>
          </cell>
          <cell r="C124" t="str">
            <v>MUS</v>
          </cell>
        </row>
        <row r="125">
          <cell r="A125" t="str">
            <v>Malawi</v>
          </cell>
          <cell r="B125">
            <v>676</v>
          </cell>
          <cell r="C125" t="str">
            <v>MWI</v>
          </cell>
        </row>
        <row r="126">
          <cell r="A126" t="str">
            <v>Malaysia</v>
          </cell>
          <cell r="B126">
            <v>548</v>
          </cell>
          <cell r="C126" t="str">
            <v>MYS</v>
          </cell>
        </row>
        <row r="127">
          <cell r="A127" t="str">
            <v>Namibia</v>
          </cell>
          <cell r="B127">
            <v>728</v>
          </cell>
          <cell r="C127" t="str">
            <v>NAM</v>
          </cell>
        </row>
        <row r="128">
          <cell r="A128" t="str">
            <v>French Territories: New Caledonia</v>
          </cell>
          <cell r="B128">
            <v>839</v>
          </cell>
          <cell r="C128" t="str">
            <v>NCL</v>
          </cell>
        </row>
        <row r="129">
          <cell r="A129" t="str">
            <v>Niger</v>
          </cell>
          <cell r="B129">
            <v>692</v>
          </cell>
          <cell r="C129" t="str">
            <v>NER</v>
          </cell>
        </row>
        <row r="130">
          <cell r="A130" t="str">
            <v>Nigeria</v>
          </cell>
          <cell r="B130">
            <v>694</v>
          </cell>
          <cell r="C130" t="str">
            <v>NGA</v>
          </cell>
        </row>
        <row r="131">
          <cell r="A131" t="str">
            <v>Nicaragua</v>
          </cell>
          <cell r="B131">
            <v>278</v>
          </cell>
          <cell r="C131" t="str">
            <v>NIC</v>
          </cell>
        </row>
        <row r="132">
          <cell r="A132" t="str">
            <v>Netherlands</v>
          </cell>
          <cell r="B132">
            <v>138</v>
          </cell>
          <cell r="C132" t="str">
            <v>NLD</v>
          </cell>
        </row>
        <row r="133">
          <cell r="A133" t="str">
            <v>Norway</v>
          </cell>
          <cell r="B133">
            <v>142</v>
          </cell>
          <cell r="C133" t="str">
            <v>NOR</v>
          </cell>
        </row>
        <row r="134">
          <cell r="A134" t="str">
            <v>Nepal</v>
          </cell>
          <cell r="B134">
            <v>558</v>
          </cell>
          <cell r="C134" t="str">
            <v>NPL</v>
          </cell>
        </row>
        <row r="135">
          <cell r="A135" t="str">
            <v>New Zealand</v>
          </cell>
          <cell r="B135">
            <v>196</v>
          </cell>
          <cell r="C135" t="str">
            <v>NZL</v>
          </cell>
        </row>
        <row r="136">
          <cell r="A136" t="str">
            <v>Oman</v>
          </cell>
          <cell r="B136">
            <v>449</v>
          </cell>
          <cell r="C136" t="str">
            <v>OMN</v>
          </cell>
        </row>
        <row r="137">
          <cell r="A137" t="str">
            <v>Pakistan</v>
          </cell>
          <cell r="B137">
            <v>564</v>
          </cell>
          <cell r="C137" t="str">
            <v>PAK</v>
          </cell>
        </row>
        <row r="138">
          <cell r="A138" t="str">
            <v>Panama</v>
          </cell>
          <cell r="B138">
            <v>283</v>
          </cell>
          <cell r="C138" t="str">
            <v>PAN</v>
          </cell>
        </row>
        <row r="139">
          <cell r="A139" t="str">
            <v>Peru</v>
          </cell>
          <cell r="B139">
            <v>293</v>
          </cell>
          <cell r="C139" t="str">
            <v>PER</v>
          </cell>
        </row>
        <row r="140">
          <cell r="A140" t="str">
            <v>Philippines</v>
          </cell>
          <cell r="B140">
            <v>566</v>
          </cell>
          <cell r="C140" t="str">
            <v>PHL</v>
          </cell>
        </row>
        <row r="141">
          <cell r="A141" t="str">
            <v>Palau</v>
          </cell>
          <cell r="B141">
            <v>565</v>
          </cell>
          <cell r="C141" t="str">
            <v>PLW</v>
          </cell>
        </row>
        <row r="142">
          <cell r="A142" t="str">
            <v>Papua New Guinea</v>
          </cell>
          <cell r="B142">
            <v>853</v>
          </cell>
          <cell r="C142" t="str">
            <v>PNG</v>
          </cell>
        </row>
        <row r="143">
          <cell r="A143" t="str">
            <v>Poland</v>
          </cell>
          <cell r="B143">
            <v>964</v>
          </cell>
          <cell r="C143" t="str">
            <v>POL</v>
          </cell>
        </row>
        <row r="144">
          <cell r="A144" t="str">
            <v>Portugal</v>
          </cell>
          <cell r="B144">
            <v>182</v>
          </cell>
          <cell r="C144" t="str">
            <v>PRT</v>
          </cell>
        </row>
        <row r="145">
          <cell r="A145" t="str">
            <v>Paraguay</v>
          </cell>
          <cell r="B145">
            <v>288</v>
          </cell>
          <cell r="C145" t="str">
            <v>PRY</v>
          </cell>
        </row>
        <row r="146">
          <cell r="A146" t="str">
            <v>French Territories: French Polynesia</v>
          </cell>
          <cell r="B146">
            <v>887</v>
          </cell>
          <cell r="C146" t="str">
            <v>PYF</v>
          </cell>
        </row>
        <row r="147">
          <cell r="A147" t="str">
            <v>Qatar</v>
          </cell>
          <cell r="B147">
            <v>453</v>
          </cell>
          <cell r="C147" t="str">
            <v>QAT</v>
          </cell>
        </row>
        <row r="148">
          <cell r="A148" t="str">
            <v>Romania</v>
          </cell>
          <cell r="B148">
            <v>968</v>
          </cell>
          <cell r="C148" t="str">
            <v>ROU</v>
          </cell>
        </row>
        <row r="149">
          <cell r="A149" t="str">
            <v>Russian Federation</v>
          </cell>
          <cell r="B149">
            <v>922</v>
          </cell>
          <cell r="C149" t="str">
            <v>RUS</v>
          </cell>
        </row>
        <row r="150">
          <cell r="A150" t="str">
            <v>Rwanda</v>
          </cell>
          <cell r="B150">
            <v>714</v>
          </cell>
          <cell r="C150" t="str">
            <v>RWA</v>
          </cell>
        </row>
        <row r="151">
          <cell r="A151" t="str">
            <v>Saudi Arabia</v>
          </cell>
          <cell r="B151">
            <v>456</v>
          </cell>
          <cell r="C151" t="str">
            <v>SAU</v>
          </cell>
        </row>
        <row r="152">
          <cell r="A152" t="str">
            <v>Sudan</v>
          </cell>
          <cell r="B152">
            <v>732</v>
          </cell>
          <cell r="C152" t="str">
            <v>SDN</v>
          </cell>
        </row>
        <row r="153">
          <cell r="A153" t="str">
            <v>Senegal</v>
          </cell>
          <cell r="B153">
            <v>722</v>
          </cell>
          <cell r="C153" t="str">
            <v>SEN</v>
          </cell>
        </row>
        <row r="154">
          <cell r="A154" t="str">
            <v>Singapore</v>
          </cell>
          <cell r="B154">
            <v>576</v>
          </cell>
          <cell r="C154" t="str">
            <v>SGP</v>
          </cell>
        </row>
        <row r="155">
          <cell r="A155" t="str">
            <v>Solomon Islands</v>
          </cell>
          <cell r="B155">
            <v>813</v>
          </cell>
          <cell r="C155" t="str">
            <v>SLB</v>
          </cell>
        </row>
        <row r="156">
          <cell r="A156" t="str">
            <v>Sierra Leone</v>
          </cell>
          <cell r="B156">
            <v>724</v>
          </cell>
          <cell r="C156" t="str">
            <v>SLE</v>
          </cell>
        </row>
        <row r="157">
          <cell r="A157" t="str">
            <v>El Salvador</v>
          </cell>
          <cell r="B157">
            <v>253</v>
          </cell>
          <cell r="C157" t="str">
            <v>SLV</v>
          </cell>
        </row>
        <row r="158">
          <cell r="A158" t="str">
            <v>Sao Tome and Principe</v>
          </cell>
          <cell r="B158">
            <v>716</v>
          </cell>
          <cell r="C158" t="str">
            <v>STP</v>
          </cell>
        </row>
        <row r="159">
          <cell r="A159" t="str">
            <v>Suriname</v>
          </cell>
          <cell r="B159">
            <v>366</v>
          </cell>
          <cell r="C159" t="str">
            <v>SUR</v>
          </cell>
        </row>
        <row r="160">
          <cell r="A160" t="str">
            <v>Slovak Republic</v>
          </cell>
          <cell r="B160">
            <v>936</v>
          </cell>
          <cell r="C160" t="str">
            <v>SVK</v>
          </cell>
        </row>
        <row r="161">
          <cell r="A161" t="str">
            <v>Slovenia</v>
          </cell>
          <cell r="B161">
            <v>961</v>
          </cell>
          <cell r="C161" t="str">
            <v>SVN</v>
          </cell>
        </row>
        <row r="162">
          <cell r="A162" t="str">
            <v>Sweden</v>
          </cell>
          <cell r="B162">
            <v>144</v>
          </cell>
          <cell r="C162" t="str">
            <v>SWE</v>
          </cell>
        </row>
        <row r="163">
          <cell r="A163" t="str">
            <v>Eswatini, Kingdom of</v>
          </cell>
          <cell r="B163">
            <v>734</v>
          </cell>
          <cell r="C163" t="str">
            <v>SWZ</v>
          </cell>
        </row>
        <row r="164">
          <cell r="A164" t="str">
            <v>Seychelles</v>
          </cell>
          <cell r="B164">
            <v>718</v>
          </cell>
          <cell r="C164" t="str">
            <v>SYC</v>
          </cell>
        </row>
        <row r="165">
          <cell r="A165" t="str">
            <v>Syrian Arab Republic</v>
          </cell>
          <cell r="B165">
            <v>463</v>
          </cell>
          <cell r="C165" t="str">
            <v>SYR</v>
          </cell>
        </row>
        <row r="166">
          <cell r="A166" t="str">
            <v>Togo</v>
          </cell>
          <cell r="B166">
            <v>742</v>
          </cell>
          <cell r="C166" t="str">
            <v>TGO</v>
          </cell>
        </row>
        <row r="167">
          <cell r="A167" t="str">
            <v>Thailand</v>
          </cell>
          <cell r="B167">
            <v>578</v>
          </cell>
          <cell r="C167" t="str">
            <v>THA</v>
          </cell>
        </row>
        <row r="168">
          <cell r="A168" t="str">
            <v>Tajikistan</v>
          </cell>
          <cell r="B168">
            <v>923</v>
          </cell>
          <cell r="C168" t="str">
            <v>TJK</v>
          </cell>
        </row>
        <row r="169">
          <cell r="A169" t="str">
            <v>Timor-Leste, Dem. Rep. of</v>
          </cell>
          <cell r="B169">
            <v>537</v>
          </cell>
          <cell r="C169" t="str">
            <v>TLS</v>
          </cell>
        </row>
        <row r="170">
          <cell r="A170" t="str">
            <v>Tonga</v>
          </cell>
          <cell r="B170">
            <v>866</v>
          </cell>
          <cell r="C170" t="str">
            <v>TON</v>
          </cell>
        </row>
        <row r="171">
          <cell r="A171" t="str">
            <v>Trinidad and Tobago</v>
          </cell>
          <cell r="B171">
            <v>369</v>
          </cell>
          <cell r="C171" t="str">
            <v>TTO</v>
          </cell>
        </row>
        <row r="172">
          <cell r="A172" t="str">
            <v>Tunisia</v>
          </cell>
          <cell r="B172">
            <v>744</v>
          </cell>
          <cell r="C172" t="str">
            <v>TUN</v>
          </cell>
        </row>
        <row r="173">
          <cell r="A173" t="str">
            <v>Turkey</v>
          </cell>
          <cell r="B173">
            <v>186</v>
          </cell>
          <cell r="C173" t="str">
            <v>TUR</v>
          </cell>
        </row>
        <row r="174">
          <cell r="A174" t="str">
            <v>Tanzania</v>
          </cell>
          <cell r="B174">
            <v>738</v>
          </cell>
          <cell r="C174" t="str">
            <v>TZA</v>
          </cell>
        </row>
        <row r="175">
          <cell r="A175" t="str">
            <v>Uganda</v>
          </cell>
          <cell r="B175">
            <v>746</v>
          </cell>
          <cell r="C175" t="str">
            <v>UGA</v>
          </cell>
        </row>
        <row r="176">
          <cell r="A176" t="str">
            <v>Ukraine</v>
          </cell>
          <cell r="B176">
            <v>926</v>
          </cell>
          <cell r="C176" t="str">
            <v>UKR</v>
          </cell>
        </row>
        <row r="177">
          <cell r="A177" t="str">
            <v>Uruguay</v>
          </cell>
          <cell r="B177">
            <v>298</v>
          </cell>
          <cell r="C177" t="str">
            <v>URY</v>
          </cell>
        </row>
        <row r="178">
          <cell r="A178" t="str">
            <v>United States</v>
          </cell>
          <cell r="B178">
            <v>111</v>
          </cell>
          <cell r="C178" t="str">
            <v>USA</v>
          </cell>
        </row>
        <row r="179">
          <cell r="A179" t="str">
            <v>St. Vincent and the Grenadines</v>
          </cell>
          <cell r="B179">
            <v>364</v>
          </cell>
          <cell r="C179" t="str">
            <v>VCT</v>
          </cell>
        </row>
        <row r="180">
          <cell r="A180" t="str">
            <v>Venezuela, Republica Bolivariana de</v>
          </cell>
          <cell r="B180">
            <v>299</v>
          </cell>
          <cell r="C180" t="str">
            <v>VEN</v>
          </cell>
        </row>
        <row r="181">
          <cell r="A181" t="str">
            <v>Vietnam</v>
          </cell>
          <cell r="B181">
            <v>582</v>
          </cell>
          <cell r="C181" t="str">
            <v>VNM</v>
          </cell>
        </row>
        <row r="182">
          <cell r="A182" t="str">
            <v>Vanuatu</v>
          </cell>
          <cell r="B182">
            <v>846</v>
          </cell>
          <cell r="C182" t="str">
            <v>VUT</v>
          </cell>
        </row>
        <row r="183">
          <cell r="A183" t="str">
            <v>Samoa</v>
          </cell>
          <cell r="B183">
            <v>862</v>
          </cell>
          <cell r="C183" t="str">
            <v>WSM</v>
          </cell>
        </row>
        <row r="184">
          <cell r="A184" t="str">
            <v>Yemen, Republic of</v>
          </cell>
          <cell r="B184">
            <v>474</v>
          </cell>
          <cell r="C184" t="str">
            <v>YEM</v>
          </cell>
        </row>
        <row r="185">
          <cell r="A185" t="str">
            <v>South Africa</v>
          </cell>
          <cell r="B185">
            <v>199</v>
          </cell>
          <cell r="C185" t="str">
            <v>ZAF</v>
          </cell>
        </row>
        <row r="186">
          <cell r="A186" t="str">
            <v>Zambia</v>
          </cell>
          <cell r="B186">
            <v>754</v>
          </cell>
          <cell r="C186" t="str">
            <v>ZMB</v>
          </cell>
        </row>
        <row r="187">
          <cell r="A187" t="str">
            <v>Zimbabwe</v>
          </cell>
          <cell r="B187">
            <v>698</v>
          </cell>
          <cell r="C187" t="str">
            <v>ZWE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OECDDIincome2015"/>
      <sheetName val="AllRelationship"/>
      <sheetName val="Allincome"/>
      <sheetName val="Equity (2)"/>
      <sheetName val="Div"/>
      <sheetName val="Retained"/>
      <sheetName val="Int"/>
      <sheetName val="ParentAffiliate"/>
      <sheetName val="Div(PA)"/>
      <sheetName val="Int(PA)"/>
      <sheetName val="AffiliateParent"/>
      <sheetName val="Div(AP)"/>
      <sheetName val="Int(AP)"/>
      <sheetName val="Fellow"/>
      <sheetName val="Div(Fellow)"/>
      <sheetName val="Int(Fellow)"/>
      <sheetName val="Fellow(ResidentUCP)"/>
      <sheetName val="Div(FellowResUCP)"/>
      <sheetName val="Int(FellowResUCP)"/>
      <sheetName val="Fellow(ForeignUCP)"/>
      <sheetName val="Div(FellowForeignUCP)"/>
      <sheetName val="Int(FellowForeignUCP)"/>
      <sheetName val="OECD_DIpositions2015"/>
      <sheetName val="Total"/>
      <sheetName val="Equity"/>
      <sheetName val="Debt"/>
      <sheetName val="CDIS_discrepancies_in_stocks"/>
      <sheetName val="World BOP data"/>
      <sheetName val="ChinaBoP"/>
      <sheetName val="TaiwanBoP"/>
      <sheetName val="IMF"/>
      <sheetName val="IMF_fdi_credit_debitinc"/>
      <sheetName val="OECD SPE income"/>
      <sheetName val="OECD SPE positions"/>
      <sheetName val="Swiss report (credit)"/>
      <sheetName val="Swiss Report (debit)"/>
      <sheetName val="IMF_Net"/>
      <sheetName val="IMF2_Credit"/>
      <sheetName val="EurostatDIAincome"/>
      <sheetName val="RAW stata files"/>
      <sheetName val="breakdown_debit_nonEU"/>
      <sheetName val="overview_debit_nonEU"/>
      <sheetName val="fdiincdetailed_debit_nonEUhaven"/>
      <sheetName val="serviceexportsineu"/>
      <sheetName val="breakdown_credit_intraEU"/>
      <sheetName val="intra_eu_breakdown_credit_outwa"/>
      <sheetName val="intra_eu_breakdown_credit_inwar"/>
      <sheetName val="misc_credit_intraEU"/>
      <sheetName val="othercountrylosses_nonEU"/>
      <sheetName val="othercountrylosses_nonEU (2)"/>
      <sheetName val="intra_eu_fdiincdetailed_debit_i"/>
      <sheetName val="fdiincdetailed_credit_nonEUhave"/>
      <sheetName val="overview_credit_nonEU"/>
      <sheetName val="intra_eu_fdiincdetailed_credit_"/>
      <sheetName val="intra_eu_fdiincdetailed_cre (2"/>
      <sheetName val="CDIS_haven_adj"/>
      <sheetName val="overview_credit_intraEU"/>
      <sheetName val="haven_exports_world"/>
      <sheetName val="CDIS_haven_debt"/>
      <sheetName val="FDI_shares_world"/>
      <sheetName val="CDIS_EQ_STOCKS_WORLd"/>
      <sheetName val="nohavens_Credit"/>
      <sheetName val="fdiincdetailed_debit_US"/>
      <sheetName val="havens_Credit"/>
      <sheetName val="Data pos chart"/>
      <sheetName val="Data return on investment"/>
      <sheetName val="Exchange rates"/>
      <sheetName val="US DIA total"/>
      <sheetName val="US DIA 2"/>
      <sheetName val="BOP and DI pos US"/>
      <sheetName val="EU direct investment income"/>
      <sheetName val="FDI discrepancies"/>
      <sheetName val="Discrepancies in FDI income"/>
      <sheetName val="Chart - Lost US income"/>
      <sheetName val="6 vil DIRE"/>
      <sheetName val="EU_Net calculations"/>
      <sheetName val="Lost income in the US"/>
      <sheetName val="Drawing data"/>
      <sheetName val="Inward, All"/>
      <sheetName val="DIA Eurostat"/>
      <sheetName val="Outward, All"/>
      <sheetName val="DIRE Eurostat"/>
      <sheetName val="A2"/>
      <sheetName val="EU trade statistics"/>
      <sheetName val="Macro statistics EU"/>
      <sheetName val="Trade matrices"/>
      <sheetName val="Breakdown EU havens"/>
      <sheetName val="Breakdown non-EU havens"/>
      <sheetName val="Non EU income shifted to EU"/>
      <sheetName val="Interest shifted to EU"/>
      <sheetName val="Interest flows nonEU debit"/>
      <sheetName val="Service imports non-EU haven"/>
      <sheetName val="Service imports from EU haven"/>
      <sheetName val="Service imports non-EU"/>
      <sheetName val="Intra EU services"/>
      <sheetName val="Non-EU services credit"/>
      <sheetName val="Interest income from EU28"/>
      <sheetName val="interest flows EU CRE to havens"/>
      <sheetName val="Interest flows to non-eu haven"/>
      <sheetName val="Interest received from non-EU"/>
      <sheetName val="Residence scenario"/>
      <sheetName val="BEA+ EU data"/>
      <sheetName val="IMF balance of payment all"/>
      <sheetName val="Non-EU tax havens"/>
      <sheetName val="Tax haven BOP"/>
      <sheetName val="Non tax haven share of income"/>
      <sheetName val="Developing countries"/>
      <sheetName val="Losses as share of CIT revenue"/>
      <sheetName val="Benchmark allocation scenario"/>
      <sheetName val="Global high risk payments"/>
      <sheetName val="Non-EU tax losses"/>
      <sheetName val="FDI DIRE EQ in non-OECD"/>
      <sheetName val="US service imports"/>
      <sheetName val="Haven exports"/>
      <sheetName val="Haven debt"/>
      <sheetName val="US DIA debt pos in havens"/>
      <sheetName val="Data C1"/>
      <sheetName val="Data C6"/>
      <sheetName val="Data C7"/>
      <sheetName val="Data C8-C10"/>
      <sheetName val="Data C15-C16"/>
      <sheetName val="Data C31-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t="str">
            <v>BOP net values in USD (Source : IMF)</v>
          </cell>
        </row>
      </sheetData>
      <sheetData sheetId="29">
        <row r="61">
          <cell r="AI61">
            <v>1892.6849800688728</v>
          </cell>
          <cell r="AK61">
            <v>2349.19963922325</v>
          </cell>
        </row>
        <row r="62">
          <cell r="AK62">
            <v>-2848.3342751341352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1">
          <cell r="B1" t="str">
            <v>Refresh</v>
          </cell>
        </row>
        <row r="10">
          <cell r="C10" t="str">
            <v>Australia</v>
          </cell>
          <cell r="D10" t="str">
            <v>Austria</v>
          </cell>
          <cell r="E10" t="str">
            <v>Belgium</v>
          </cell>
          <cell r="F10" t="str">
            <v>Canada</v>
          </cell>
          <cell r="G10" t="str">
            <v>Chile</v>
          </cell>
          <cell r="H10" t="str">
            <v>Czech Republic</v>
          </cell>
          <cell r="I10" t="str">
            <v>Denmark</v>
          </cell>
          <cell r="J10" t="str">
            <v>Estonia</v>
          </cell>
          <cell r="K10" t="str">
            <v>Finland</v>
          </cell>
          <cell r="L10" t="str">
            <v>France</v>
          </cell>
          <cell r="M10" t="str">
            <v>Germany</v>
          </cell>
          <cell r="N10" t="str">
            <v>Greece</v>
          </cell>
          <cell r="O10" t="str">
            <v>Hungary</v>
          </cell>
          <cell r="P10" t="str">
            <v>Iceland</v>
          </cell>
          <cell r="Q10" t="str">
            <v>Ireland</v>
          </cell>
          <cell r="R10" t="str">
            <v>Italy</v>
          </cell>
          <cell r="S10" t="str">
            <v>Japan</v>
          </cell>
          <cell r="T10" t="str">
            <v>Korea</v>
          </cell>
          <cell r="U10" t="str">
            <v>Latvia</v>
          </cell>
          <cell r="V10" t="str">
            <v>Luxembourg</v>
          </cell>
          <cell r="W10" t="str">
            <v>Mexico</v>
          </cell>
          <cell r="X10" t="str">
            <v>Netherlands</v>
          </cell>
          <cell r="Y10" t="str">
            <v>New Zealand</v>
          </cell>
          <cell r="Z10" t="str">
            <v>Norway</v>
          </cell>
          <cell r="AA10" t="str">
            <v>Poland</v>
          </cell>
          <cell r="AB10" t="str">
            <v>Portugal</v>
          </cell>
          <cell r="AC10" t="str">
            <v>Slovak Republic</v>
          </cell>
          <cell r="AD10" t="str">
            <v>Slovenia</v>
          </cell>
          <cell r="AE10" t="str">
            <v>Spain</v>
          </cell>
          <cell r="AF10" t="str">
            <v>Sweden</v>
          </cell>
          <cell r="AG10" t="str">
            <v>Switzerland</v>
          </cell>
          <cell r="AH10" t="str">
            <v>Turkey</v>
          </cell>
          <cell r="AI10" t="str">
            <v>United Kingdom</v>
          </cell>
          <cell r="AJ10" t="str">
            <v>United States</v>
          </cell>
          <cell r="AK10" t="str">
            <v>Non-OECD Economies</v>
          </cell>
          <cell r="AL10" t="str">
            <v>Lithuania</v>
          </cell>
        </row>
        <row r="11">
          <cell r="C11" t="str">
            <v>US Dollar, Millions</v>
          </cell>
          <cell r="D11" t="str">
            <v>US Dollar, Millions</v>
          </cell>
          <cell r="E11" t="str">
            <v>US Dollar, Millions</v>
          </cell>
          <cell r="F11" t="str">
            <v>US Dollar, Millions</v>
          </cell>
          <cell r="G11" t="str">
            <v>US Dollar, Millions</v>
          </cell>
          <cell r="H11" t="str">
            <v>US Dollar, Millions</v>
          </cell>
          <cell r="I11" t="str">
            <v>US Dollar, Millions</v>
          </cell>
          <cell r="J11" t="str">
            <v>US Dollar, Millions</v>
          </cell>
          <cell r="K11" t="str">
            <v>US Dollar, Millions</v>
          </cell>
          <cell r="L11" t="str">
            <v>US Dollar, Millions</v>
          </cell>
          <cell r="M11" t="str">
            <v>US Dollar, Millions</v>
          </cell>
          <cell r="N11" t="str">
            <v>US Dollar, Millions</v>
          </cell>
          <cell r="O11" t="str">
            <v>US Dollar, Millions</v>
          </cell>
          <cell r="P11" t="str">
            <v>US Dollar, Millions</v>
          </cell>
          <cell r="Q11" t="str">
            <v>US Dollar, Millions</v>
          </cell>
          <cell r="R11" t="str">
            <v>US Dollar, Millions</v>
          </cell>
          <cell r="S11" t="str">
            <v>US Dollar, Millions</v>
          </cell>
          <cell r="T11" t="str">
            <v>US Dollar, Millions</v>
          </cell>
          <cell r="U11" t="str">
            <v>US Dollar, Millions</v>
          </cell>
          <cell r="V11" t="str">
            <v>US Dollar, Millions</v>
          </cell>
          <cell r="W11" t="str">
            <v>US Dollar, Millions</v>
          </cell>
          <cell r="X11" t="str">
            <v>US Dollar, Millions</v>
          </cell>
          <cell r="Y11" t="str">
            <v>US Dollar, Millions</v>
          </cell>
          <cell r="Z11" t="str">
            <v>US Dollar, Millions</v>
          </cell>
          <cell r="AA11" t="str">
            <v>US Dollar, Millions</v>
          </cell>
          <cell r="AB11" t="str">
            <v>US Dollar, Millions</v>
          </cell>
          <cell r="AC11" t="str">
            <v>US Dollar, Millions</v>
          </cell>
          <cell r="AD11" t="str">
            <v>US Dollar, Millions</v>
          </cell>
          <cell r="AE11" t="str">
            <v>US Dollar, Millions</v>
          </cell>
          <cell r="AF11" t="str">
            <v>US Dollar, Millions</v>
          </cell>
          <cell r="AG11" t="str">
            <v>US Dollar, Millions</v>
          </cell>
          <cell r="AH11" t="str">
            <v>US Dollar, Millions</v>
          </cell>
          <cell r="AI11" t="str">
            <v>US Dollar, Millions</v>
          </cell>
          <cell r="AJ11" t="str">
            <v>US Dollar, Millions</v>
          </cell>
          <cell r="AK11" t="str">
            <v/>
          </cell>
          <cell r="AL11" t="str">
            <v>US Dollar, Millions</v>
          </cell>
        </row>
        <row r="12">
          <cell r="C12" t="str">
            <v>i</v>
          </cell>
          <cell r="D12" t="str">
            <v>i</v>
          </cell>
          <cell r="E12" t="str">
            <v>i</v>
          </cell>
          <cell r="F12" t="str">
            <v>i</v>
          </cell>
          <cell r="G12" t="str">
            <v>i</v>
          </cell>
          <cell r="H12" t="str">
            <v>i</v>
          </cell>
          <cell r="I12" t="str">
            <v>i</v>
          </cell>
          <cell r="J12" t="str">
            <v>i</v>
          </cell>
          <cell r="K12" t="str">
            <v>i</v>
          </cell>
          <cell r="L12" t="str">
            <v>i</v>
          </cell>
          <cell r="M12" t="str">
            <v>i</v>
          </cell>
          <cell r="N12" t="str">
            <v>i</v>
          </cell>
          <cell r="O12" t="str">
            <v>i</v>
          </cell>
          <cell r="P12" t="str">
            <v>i</v>
          </cell>
          <cell r="Q12" t="str">
            <v>i</v>
          </cell>
          <cell r="R12" t="str">
            <v>i</v>
          </cell>
          <cell r="S12" t="str">
            <v>i</v>
          </cell>
          <cell r="T12" t="str">
            <v>i</v>
          </cell>
          <cell r="U12" t="str">
            <v>i</v>
          </cell>
          <cell r="V12" t="str">
            <v>i</v>
          </cell>
          <cell r="W12" t="str">
            <v>i</v>
          </cell>
          <cell r="X12" t="str">
            <v>i</v>
          </cell>
          <cell r="Y12" t="str">
            <v>i</v>
          </cell>
          <cell r="Z12" t="str">
            <v>i</v>
          </cell>
          <cell r="AA12" t="str">
            <v>i</v>
          </cell>
          <cell r="AB12" t="str">
            <v>i</v>
          </cell>
          <cell r="AC12" t="str">
            <v>i</v>
          </cell>
          <cell r="AD12" t="str">
            <v>i</v>
          </cell>
          <cell r="AE12" t="str">
            <v>i</v>
          </cell>
          <cell r="AF12" t="str">
            <v>i</v>
          </cell>
          <cell r="AG12" t="str">
            <v>i</v>
          </cell>
          <cell r="AH12" t="str">
            <v>i</v>
          </cell>
          <cell r="AI12" t="str">
            <v>i</v>
          </cell>
          <cell r="AJ12" t="str">
            <v>i</v>
          </cell>
          <cell r="AK12" t="str">
            <v/>
          </cell>
          <cell r="AL12" t="str">
            <v>i</v>
          </cell>
        </row>
        <row r="13">
          <cell r="C13">
            <v>23973.251183410001</v>
          </cell>
          <cell r="E13">
            <v>20734.331669439998</v>
          </cell>
          <cell r="F13">
            <v>33733.083000860999</v>
          </cell>
          <cell r="G13">
            <v>10233.519814927</v>
          </cell>
          <cell r="H13">
            <v>14473.473712032001</v>
          </cell>
          <cell r="I13">
            <v>5206.0843964671003</v>
          </cell>
          <cell r="J13">
            <v>1321.7160288407999</v>
          </cell>
          <cell r="L13">
            <v>25964.503605103</v>
          </cell>
          <cell r="M13">
            <v>33633.943427621001</v>
          </cell>
          <cell r="N13">
            <v>1156.7556206323</v>
          </cell>
          <cell r="O13">
            <v>11620.257269139</v>
          </cell>
          <cell r="P13">
            <v>36.721543558576997</v>
          </cell>
          <cell r="Q13">
            <v>64705.490848586</v>
          </cell>
          <cell r="R13">
            <v>11685.327787022001</v>
          </cell>
          <cell r="S13">
            <v>24191.297999145001</v>
          </cell>
          <cell r="T13">
            <v>2261.1056400176999</v>
          </cell>
          <cell r="U13">
            <v>1151.4143094842</v>
          </cell>
          <cell r="V13">
            <v>64727.676095397001</v>
          </cell>
          <cell r="X13">
            <v>181210.20521352999</v>
          </cell>
          <cell r="Y13">
            <v>5867.7600055780003</v>
          </cell>
          <cell r="Z13">
            <v>6038.0938209143997</v>
          </cell>
          <cell r="AA13">
            <v>18057.344437961001</v>
          </cell>
          <cell r="AB13">
            <v>4857.4597892401998</v>
          </cell>
          <cell r="AD13">
            <v>1078.1752634498</v>
          </cell>
          <cell r="AE13">
            <v>21338.879645035999</v>
          </cell>
          <cell r="AF13">
            <v>20768.035305423</v>
          </cell>
          <cell r="AG13">
            <v>60637.403417950001</v>
          </cell>
          <cell r="AH13">
            <v>3542.26</v>
          </cell>
          <cell r="AI13">
            <v>97544.690603513998</v>
          </cell>
          <cell r="AJ13">
            <v>148335</v>
          </cell>
          <cell r="AL13">
            <v>1678.768718802</v>
          </cell>
        </row>
        <row r="14">
          <cell r="C14">
            <v>6832.9701705612997</v>
          </cell>
          <cell r="E14">
            <v>0</v>
          </cell>
          <cell r="F14">
            <v>11216.459360088</v>
          </cell>
          <cell r="G14">
            <v>-554.52869214092004</v>
          </cell>
          <cell r="I14">
            <v>-0.14869004074107001</v>
          </cell>
          <cell r="J14">
            <v>1.9800332778701</v>
          </cell>
          <cell r="M14">
            <v>1.1092623405435</v>
          </cell>
          <cell r="N14">
            <v>7.1469772603599997E-3</v>
          </cell>
          <cell r="O14">
            <v>342.31184051232998</v>
          </cell>
          <cell r="P14">
            <v>3.0785304771068001</v>
          </cell>
          <cell r="Q14">
            <v>82.085413200222007</v>
          </cell>
          <cell r="R14">
            <v>-1.2357182473651001</v>
          </cell>
          <cell r="S14">
            <v>-3.85E-12</v>
          </cell>
          <cell r="T14">
            <v>35.956713780945002</v>
          </cell>
          <cell r="V14">
            <v>0</v>
          </cell>
          <cell r="X14">
            <v>24.403771491958</v>
          </cell>
          <cell r="Y14">
            <v>18.688258262445999</v>
          </cell>
          <cell r="Z14">
            <v>-0.12400332328906</v>
          </cell>
          <cell r="AA14">
            <v>-5.3047583685649997E-2</v>
          </cell>
          <cell r="AD14">
            <v>0.24847476428181001</v>
          </cell>
          <cell r="AF14">
            <v>0.47453525203753999</v>
          </cell>
          <cell r="AG14">
            <v>60637.403417950001</v>
          </cell>
          <cell r="AI14">
            <v>0</v>
          </cell>
          <cell r="AJ14">
            <v>425</v>
          </cell>
          <cell r="AL14">
            <v>5.0138657792570003</v>
          </cell>
        </row>
        <row r="15">
          <cell r="C15">
            <v>0</v>
          </cell>
          <cell r="E15">
            <v>-68.774265113699002</v>
          </cell>
          <cell r="G15">
            <v>-0.19748824657882999</v>
          </cell>
          <cell r="H15">
            <v>1.5686984101167001</v>
          </cell>
          <cell r="I15">
            <v>0</v>
          </cell>
          <cell r="J15">
            <v>0.28175263449805998</v>
          </cell>
          <cell r="K15">
            <v>0</v>
          </cell>
          <cell r="M15">
            <v>35.496394897393003</v>
          </cell>
          <cell r="N15">
            <v>0.10697282307266</v>
          </cell>
          <cell r="O15">
            <v>-4.9071756556372996</v>
          </cell>
          <cell r="P15">
            <v>-6.3966171600245998</v>
          </cell>
          <cell r="R15">
            <v>9.7359955629506008</v>
          </cell>
          <cell r="S15">
            <v>149.07137420527999</v>
          </cell>
          <cell r="T15">
            <v>-6.3341166077738</v>
          </cell>
          <cell r="U15">
            <v>0</v>
          </cell>
          <cell r="X15">
            <v>221.85246810871001</v>
          </cell>
          <cell r="Y15">
            <v>4469.2344163994003</v>
          </cell>
          <cell r="Z15">
            <v>0.99202658631250995</v>
          </cell>
          <cell r="AA15">
            <v>1.8831892207309999</v>
          </cell>
          <cell r="AB15">
            <v>0</v>
          </cell>
          <cell r="AD15">
            <v>-0.45368829728231003</v>
          </cell>
          <cell r="AF15">
            <v>-0.23726762601876999</v>
          </cell>
          <cell r="AI15">
            <v>333.07868601986002</v>
          </cell>
          <cell r="AJ15">
            <v>914</v>
          </cell>
          <cell r="AL15">
            <v>0</v>
          </cell>
        </row>
        <row r="16">
          <cell r="D16">
            <v>0</v>
          </cell>
          <cell r="E16">
            <v>85.413200221851994</v>
          </cell>
          <cell r="H16">
            <v>1945.4508193388001</v>
          </cell>
          <cell r="I16">
            <v>57.394355726053</v>
          </cell>
          <cell r="J16">
            <v>19.135884636717002</v>
          </cell>
          <cell r="K16">
            <v>0</v>
          </cell>
          <cell r="M16">
            <v>2048.8075429839</v>
          </cell>
          <cell r="N16">
            <v>-28.998411536328</v>
          </cell>
          <cell r="O16">
            <v>1655.3556201064</v>
          </cell>
          <cell r="P16">
            <v>-2.7690146847256001</v>
          </cell>
          <cell r="R16">
            <v>-26.132002218524999</v>
          </cell>
          <cell r="T16">
            <v>-10.466104240283</v>
          </cell>
          <cell r="U16">
            <v>29.950083194676001</v>
          </cell>
          <cell r="X16">
            <v>212.97836938436001</v>
          </cell>
          <cell r="Z16">
            <v>-207.70556650917999</v>
          </cell>
          <cell r="AA16">
            <v>707.04471911303995</v>
          </cell>
          <cell r="AD16">
            <v>367.59290072101999</v>
          </cell>
          <cell r="AF16">
            <v>256.01176847425</v>
          </cell>
          <cell r="AI16">
            <v>569.90068754774995</v>
          </cell>
          <cell r="AJ16">
            <v>506</v>
          </cell>
          <cell r="AL16">
            <v>5.4797559622851004</v>
          </cell>
        </row>
        <row r="17">
          <cell r="C17">
            <v>-62.363813960477998</v>
          </cell>
          <cell r="E17">
            <v>0</v>
          </cell>
          <cell r="G17">
            <v>6.9957454265907</v>
          </cell>
          <cell r="H17">
            <v>977.62029845891004</v>
          </cell>
          <cell r="I17">
            <v>13.530793707437001</v>
          </cell>
          <cell r="J17">
            <v>5.5030504714364996</v>
          </cell>
          <cell r="L17">
            <v>2981.6971713809999</v>
          </cell>
          <cell r="M17">
            <v>1295.6184137549001</v>
          </cell>
          <cell r="N17">
            <v>-26.687804769827999</v>
          </cell>
          <cell r="O17">
            <v>18.540828241294999</v>
          </cell>
          <cell r="P17">
            <v>-1.1764418727148001</v>
          </cell>
          <cell r="Q17">
            <v>1423.1835829173999</v>
          </cell>
          <cell r="R17">
            <v>574.42928452578997</v>
          </cell>
          <cell r="S17">
            <v>96.325541225248998</v>
          </cell>
          <cell r="T17">
            <v>-5.635167844523</v>
          </cell>
          <cell r="U17">
            <v>0</v>
          </cell>
          <cell r="X17">
            <v>8593.4553521908001</v>
          </cell>
          <cell r="Z17">
            <v>286.07566682787001</v>
          </cell>
          <cell r="AA17">
            <v>442.89427616571999</v>
          </cell>
          <cell r="AD17">
            <v>18.671103716028998</v>
          </cell>
          <cell r="AF17">
            <v>75.451105073967994</v>
          </cell>
          <cell r="AI17">
            <v>2792.9717341482001</v>
          </cell>
          <cell r="AJ17">
            <v>4529</v>
          </cell>
          <cell r="AL17">
            <v>7.5873544093177996</v>
          </cell>
        </row>
        <row r="18">
          <cell r="C18">
            <v>419.26515891501998</v>
          </cell>
          <cell r="E18">
            <v>-66.555740432611998</v>
          </cell>
          <cell r="F18">
            <v>0</v>
          </cell>
          <cell r="G18">
            <v>1011.0320346808001</v>
          </cell>
          <cell r="H18">
            <v>6.1108038872849999</v>
          </cell>
          <cell r="I18">
            <v>11.597823177804001</v>
          </cell>
          <cell r="J18">
            <v>-0.22739877981143</v>
          </cell>
          <cell r="L18">
            <v>58.790904048808002</v>
          </cell>
          <cell r="M18">
            <v>77.648363838047999</v>
          </cell>
          <cell r="N18">
            <v>146.83919356627999</v>
          </cell>
          <cell r="O18">
            <v>990.16772924919997</v>
          </cell>
          <cell r="P18">
            <v>-0.77949046683844003</v>
          </cell>
          <cell r="Q18">
            <v>14.420410427066001</v>
          </cell>
          <cell r="R18">
            <v>-12.440377149195999</v>
          </cell>
          <cell r="S18">
            <v>-15.442222561058999</v>
          </cell>
          <cell r="T18">
            <v>32.117093639575998</v>
          </cell>
          <cell r="U18">
            <v>-1.1092623405435</v>
          </cell>
          <cell r="X18">
            <v>763.17249029394998</v>
          </cell>
          <cell r="Y18">
            <v>104.30546646214</v>
          </cell>
          <cell r="Z18">
            <v>448.27201368996998</v>
          </cell>
          <cell r="AA18">
            <v>32.146835711633003</v>
          </cell>
          <cell r="AD18">
            <v>-6.8774265113699995E-2</v>
          </cell>
          <cell r="AF18">
            <v>303.46529367800002</v>
          </cell>
          <cell r="AJ18">
            <v>15941</v>
          </cell>
          <cell r="AL18">
            <v>3.6605657237937002</v>
          </cell>
        </row>
        <row r="19">
          <cell r="G19">
            <v>0</v>
          </cell>
          <cell r="H19">
            <v>0</v>
          </cell>
          <cell r="I19">
            <v>-0.74345020370535997</v>
          </cell>
          <cell r="J19">
            <v>0</v>
          </cell>
          <cell r="K19">
            <v>0</v>
          </cell>
          <cell r="M19">
            <v>1.1092623405435</v>
          </cell>
          <cell r="N19">
            <v>3.5496394897400001E-3</v>
          </cell>
          <cell r="P19">
            <v>0</v>
          </cell>
          <cell r="R19">
            <v>6.3538546866334</v>
          </cell>
          <cell r="T19">
            <v>2.5362190812721002</v>
          </cell>
          <cell r="U19">
            <v>0</v>
          </cell>
          <cell r="X19">
            <v>1.1092623405435</v>
          </cell>
          <cell r="Z19">
            <v>1.1160299096016</v>
          </cell>
          <cell r="AA19">
            <v>2.6523791841279998E-2</v>
          </cell>
          <cell r="AB19">
            <v>0</v>
          </cell>
          <cell r="AD19">
            <v>0</v>
          </cell>
          <cell r="AF19">
            <v>8.3043669106568991</v>
          </cell>
          <cell r="AJ19">
            <v>69</v>
          </cell>
          <cell r="AL19">
            <v>0</v>
          </cell>
        </row>
        <row r="20">
          <cell r="C20">
            <v>0</v>
          </cell>
          <cell r="E20">
            <v>5.5463117027177002</v>
          </cell>
          <cell r="H20">
            <v>0</v>
          </cell>
          <cell r="I20">
            <v>0.14869004074107001</v>
          </cell>
          <cell r="J20">
            <v>1.9534109816972001</v>
          </cell>
          <cell r="L20">
            <v>16.638935108152999</v>
          </cell>
          <cell r="M20">
            <v>139.76705490849</v>
          </cell>
          <cell r="N20">
            <v>40.331927897947999</v>
          </cell>
          <cell r="O20">
            <v>-13.301843879166</v>
          </cell>
          <cell r="P20">
            <v>1.2996037256199999E-3</v>
          </cell>
          <cell r="Q20">
            <v>0</v>
          </cell>
          <cell r="R20">
            <v>32.013311148086999</v>
          </cell>
          <cell r="T20">
            <v>0</v>
          </cell>
          <cell r="U20">
            <v>4.4370493621742</v>
          </cell>
          <cell r="X20">
            <v>1148.0865224626</v>
          </cell>
          <cell r="Z20">
            <v>16.368438674156</v>
          </cell>
          <cell r="AA20">
            <v>100.76388520502999</v>
          </cell>
          <cell r="AD20">
            <v>10.646699944537</v>
          </cell>
          <cell r="AF20">
            <v>22.896325910811001</v>
          </cell>
          <cell r="AJ20">
            <v>0</v>
          </cell>
          <cell r="AL20">
            <v>0.73211314475874001</v>
          </cell>
        </row>
        <row r="21">
          <cell r="E21">
            <v>46.589018302828997</v>
          </cell>
          <cell r="H21">
            <v>88.673077705037997</v>
          </cell>
          <cell r="I21">
            <v>0</v>
          </cell>
          <cell r="J21">
            <v>43.013865779257003</v>
          </cell>
          <cell r="M21">
            <v>1273.433166944</v>
          </cell>
          <cell r="N21">
            <v>5.0980576816417003</v>
          </cell>
          <cell r="O21">
            <v>66.411459415316997</v>
          </cell>
          <cell r="P21">
            <v>10.163616838966</v>
          </cell>
          <cell r="Q21">
            <v>163.06156405990001</v>
          </cell>
          <cell r="R21">
            <v>279.66833056017998</v>
          </cell>
          <cell r="T21">
            <v>-1.719964664311</v>
          </cell>
          <cell r="U21">
            <v>32.168607875763001</v>
          </cell>
          <cell r="X21">
            <v>1470.8818635606999</v>
          </cell>
          <cell r="Z21">
            <v>1098.0494277247001</v>
          </cell>
          <cell r="AA21">
            <v>350.93628985200002</v>
          </cell>
          <cell r="AD21">
            <v>19.826955074874999</v>
          </cell>
          <cell r="AF21">
            <v>615.94675714471998</v>
          </cell>
          <cell r="AI21">
            <v>915.20244461420998</v>
          </cell>
          <cell r="AJ21">
            <v>1026</v>
          </cell>
          <cell r="AL21">
            <v>53.754853022740001</v>
          </cell>
        </row>
        <row r="22">
          <cell r="C22">
            <v>0</v>
          </cell>
          <cell r="D22">
            <v>0</v>
          </cell>
          <cell r="E22">
            <v>0</v>
          </cell>
          <cell r="G22">
            <v>0</v>
          </cell>
          <cell r="I22">
            <v>-0.14869004074107001</v>
          </cell>
          <cell r="J22">
            <v>0</v>
          </cell>
          <cell r="M22">
            <v>0</v>
          </cell>
          <cell r="N22">
            <v>-2.0188574597900001E-3</v>
          </cell>
          <cell r="O22">
            <v>0</v>
          </cell>
          <cell r="P22">
            <v>0</v>
          </cell>
          <cell r="Q22">
            <v>0</v>
          </cell>
          <cell r="R22">
            <v>-0.92734331669439996</v>
          </cell>
          <cell r="T22">
            <v>0</v>
          </cell>
          <cell r="U22">
            <v>74.320576816417002</v>
          </cell>
          <cell r="X22">
            <v>0</v>
          </cell>
          <cell r="AA22">
            <v>2.4401888493979</v>
          </cell>
          <cell r="AD22">
            <v>0.14753189129229</v>
          </cell>
          <cell r="AF22">
            <v>1.1863381300938001</v>
          </cell>
          <cell r="AJ22">
            <v>0</v>
          </cell>
          <cell r="AL22">
            <v>111.08153078203</v>
          </cell>
        </row>
        <row r="23">
          <cell r="E23">
            <v>209.65058236273001</v>
          </cell>
          <cell r="H23">
            <v>44.934046273329997</v>
          </cell>
          <cell r="I23">
            <v>132.78020638178</v>
          </cell>
          <cell r="J23">
            <v>284.32390460343998</v>
          </cell>
          <cell r="K23">
            <v>0</v>
          </cell>
          <cell r="M23">
            <v>83.194675540765004</v>
          </cell>
          <cell r="N23">
            <v>0.65498169717138</v>
          </cell>
          <cell r="O23">
            <v>5.2880900019341004</v>
          </cell>
          <cell r="P23">
            <v>3.6568090157484998</v>
          </cell>
          <cell r="R23">
            <v>5.2656683305602003</v>
          </cell>
          <cell r="T23">
            <v>-2.4213780918727998</v>
          </cell>
          <cell r="U23">
            <v>21.075984470327001</v>
          </cell>
          <cell r="X23">
            <v>-82.085413200222007</v>
          </cell>
          <cell r="Z23">
            <v>-29.636794266086</v>
          </cell>
          <cell r="AA23">
            <v>185.58697151345001</v>
          </cell>
          <cell r="AB23">
            <v>0</v>
          </cell>
          <cell r="AD23">
            <v>4.9850249584027004</v>
          </cell>
          <cell r="AF23">
            <v>2010.724496696</v>
          </cell>
          <cell r="AI23">
            <v>371.27578304049001</v>
          </cell>
          <cell r="AJ23">
            <v>398</v>
          </cell>
          <cell r="AL23">
            <v>56.860787576261998</v>
          </cell>
        </row>
        <row r="24">
          <cell r="C24">
            <v>370.42602750019</v>
          </cell>
          <cell r="E24">
            <v>6164.1708264004001</v>
          </cell>
          <cell r="G24">
            <v>110.00483552427001</v>
          </cell>
          <cell r="H24">
            <v>1060.3746187940001</v>
          </cell>
          <cell r="I24">
            <v>250.24533856721999</v>
          </cell>
          <cell r="J24">
            <v>15.935662784248001</v>
          </cell>
          <cell r="L24">
            <v>0</v>
          </cell>
          <cell r="M24">
            <v>4525.7903494175998</v>
          </cell>
          <cell r="N24">
            <v>17.552286189684001</v>
          </cell>
          <cell r="O24">
            <v>383.54067780826</v>
          </cell>
          <cell r="P24">
            <v>5.1896689181119997E-2</v>
          </cell>
          <cell r="Q24">
            <v>2394.8973932335002</v>
          </cell>
          <cell r="R24">
            <v>3356.9916805324001</v>
          </cell>
          <cell r="S24">
            <v>3988.6233730846002</v>
          </cell>
          <cell r="T24">
            <v>133.56095406360001</v>
          </cell>
          <cell r="U24">
            <v>5.5463117027177002</v>
          </cell>
          <cell r="X24">
            <v>4729.8946200775999</v>
          </cell>
          <cell r="Y24">
            <v>28.708548319620999</v>
          </cell>
          <cell r="Z24">
            <v>723.31138474510999</v>
          </cell>
          <cell r="AA24">
            <v>1752.7186886637</v>
          </cell>
          <cell r="AD24">
            <v>48.269550748752003</v>
          </cell>
          <cell r="AF24">
            <v>109.61764322067</v>
          </cell>
          <cell r="AI24">
            <v>5471.3521772345002</v>
          </cell>
          <cell r="AJ24">
            <v>15874</v>
          </cell>
          <cell r="AL24">
            <v>20.599001663894001</v>
          </cell>
        </row>
        <row r="25">
          <cell r="E25">
            <v>1778.1475318913001</v>
          </cell>
          <cell r="G25">
            <v>80.410161400473001</v>
          </cell>
          <cell r="H25">
            <v>2163.2410035376001</v>
          </cell>
          <cell r="I25">
            <v>387.33755613048999</v>
          </cell>
          <cell r="J25">
            <v>33.227953410982003</v>
          </cell>
          <cell r="L25">
            <v>2179.7004991681001</v>
          </cell>
          <cell r="M25">
            <v>0</v>
          </cell>
          <cell r="N25">
            <v>238.64339545202</v>
          </cell>
          <cell r="O25">
            <v>1287.4596302212999</v>
          </cell>
          <cell r="P25">
            <v>-4.0782703595444003</v>
          </cell>
          <cell r="Q25">
            <v>880.75429839157005</v>
          </cell>
          <cell r="R25">
            <v>1897.7382140876</v>
          </cell>
          <cell r="S25">
            <v>1222.0597166995999</v>
          </cell>
          <cell r="T25">
            <v>201.73957597173001</v>
          </cell>
          <cell r="U25">
            <v>58.790904048808002</v>
          </cell>
          <cell r="X25">
            <v>21217.970049916999</v>
          </cell>
          <cell r="Z25">
            <v>-346.71329191621999</v>
          </cell>
          <cell r="AA25">
            <v>3635.2448145987</v>
          </cell>
          <cell r="AD25">
            <v>172.58347199113001</v>
          </cell>
          <cell r="AF25">
            <v>2290.9375630241998</v>
          </cell>
          <cell r="AI25">
            <v>10227.654698243001</v>
          </cell>
          <cell r="AJ25">
            <v>12731</v>
          </cell>
          <cell r="AL25">
            <v>94.187465335552005</v>
          </cell>
        </row>
        <row r="26">
          <cell r="C26">
            <v>0</v>
          </cell>
          <cell r="E26">
            <v>-12.201885745979</v>
          </cell>
          <cell r="I26">
            <v>-0.29738008148214001</v>
          </cell>
          <cell r="J26">
            <v>1.331114808652E-2</v>
          </cell>
          <cell r="K26">
            <v>0</v>
          </cell>
          <cell r="M26">
            <v>7.7648363838048002</v>
          </cell>
          <cell r="N26">
            <v>0</v>
          </cell>
          <cell r="O26">
            <v>-1.2433827374513999</v>
          </cell>
          <cell r="P26">
            <v>-3.0192124813230001E-2</v>
          </cell>
          <cell r="Q26">
            <v>0</v>
          </cell>
          <cell r="R26">
            <v>6.1009428729895001</v>
          </cell>
          <cell r="T26">
            <v>0</v>
          </cell>
          <cell r="U26">
            <v>0</v>
          </cell>
          <cell r="X26">
            <v>4.4370493621742</v>
          </cell>
          <cell r="Z26">
            <v>0</v>
          </cell>
          <cell r="AA26">
            <v>5.4639011193040004</v>
          </cell>
          <cell r="AB26">
            <v>0</v>
          </cell>
          <cell r="AD26">
            <v>-2.6622296173039999E-2</v>
          </cell>
          <cell r="AF26">
            <v>0</v>
          </cell>
          <cell r="AI26">
            <v>152.78838808251001</v>
          </cell>
          <cell r="AL26">
            <v>0</v>
          </cell>
        </row>
        <row r="27">
          <cell r="C27">
            <v>0</v>
          </cell>
          <cell r="E27">
            <v>33.277870216305999</v>
          </cell>
          <cell r="H27">
            <v>-5.7020290326516001</v>
          </cell>
          <cell r="I27">
            <v>0.74345020370535997</v>
          </cell>
          <cell r="J27">
            <v>0.17859123682750999</v>
          </cell>
          <cell r="K27">
            <v>0</v>
          </cell>
          <cell r="M27">
            <v>24.403771491958</v>
          </cell>
          <cell r="N27">
            <v>1.172712146423E-2</v>
          </cell>
          <cell r="O27">
            <v>0</v>
          </cell>
          <cell r="P27">
            <v>-9.5303422959649997E-2</v>
          </cell>
          <cell r="Q27">
            <v>4.4370493621742</v>
          </cell>
          <cell r="R27">
            <v>-118.59789240155</v>
          </cell>
          <cell r="T27">
            <v>7</v>
          </cell>
          <cell r="X27">
            <v>22.185246810871</v>
          </cell>
          <cell r="AA27">
            <v>39.440878467986003</v>
          </cell>
          <cell r="AD27">
            <v>13.155851358846</v>
          </cell>
          <cell r="AI27">
            <v>13.750954927425999</v>
          </cell>
          <cell r="AJ27">
            <v>447</v>
          </cell>
          <cell r="AL27">
            <v>5.1691625069329001</v>
          </cell>
        </row>
        <row r="28">
          <cell r="C28">
            <v>0</v>
          </cell>
          <cell r="E28">
            <v>0</v>
          </cell>
          <cell r="H28">
            <v>-1.3011832635299999E-3</v>
          </cell>
          <cell r="I28">
            <v>4.7580813037142997</v>
          </cell>
          <cell r="J28">
            <v>11.737104825291</v>
          </cell>
          <cell r="M28">
            <v>-1.1092623405435</v>
          </cell>
          <cell r="N28">
            <v>-9.5185801441999996E-3</v>
          </cell>
          <cell r="P28">
            <v>0</v>
          </cell>
          <cell r="R28">
            <v>0</v>
          </cell>
          <cell r="T28">
            <v>0.88869257950530001</v>
          </cell>
          <cell r="U28">
            <v>0</v>
          </cell>
          <cell r="X28">
            <v>70.992789794786006</v>
          </cell>
          <cell r="Z28">
            <v>13.764368885086</v>
          </cell>
          <cell r="AA28">
            <v>1.7770940533659001</v>
          </cell>
          <cell r="AB28">
            <v>0</v>
          </cell>
          <cell r="AD28">
            <v>0</v>
          </cell>
          <cell r="AF28">
            <v>-17.320536699369999</v>
          </cell>
          <cell r="AI28">
            <v>53.475935828876999</v>
          </cell>
        </row>
        <row r="29">
          <cell r="C29">
            <v>182.58321436622001</v>
          </cell>
          <cell r="E29">
            <v>-106.48918469218</v>
          </cell>
          <cell r="H29">
            <v>29.717033302158999</v>
          </cell>
          <cell r="I29">
            <v>64.828857763106996</v>
          </cell>
          <cell r="J29">
            <v>0.57681641708263998</v>
          </cell>
          <cell r="L29">
            <v>292.84525790348999</v>
          </cell>
          <cell r="M29">
            <v>368.27509706044998</v>
          </cell>
          <cell r="N29">
            <v>7.4145113699390004</v>
          </cell>
          <cell r="O29">
            <v>894.11898894675005</v>
          </cell>
          <cell r="P29">
            <v>0.24097347732245</v>
          </cell>
          <cell r="R29">
            <v>12.915141430947999</v>
          </cell>
          <cell r="T29">
            <v>-40.779187279151998</v>
          </cell>
          <cell r="U29">
            <v>0</v>
          </cell>
          <cell r="X29">
            <v>3990.0166389351002</v>
          </cell>
          <cell r="Z29">
            <v>17.484468583758002</v>
          </cell>
          <cell r="AA29">
            <v>60.500769189963002</v>
          </cell>
          <cell r="AD29">
            <v>0.65335551858013996</v>
          </cell>
          <cell r="AF29">
            <v>227.42101953899001</v>
          </cell>
          <cell r="AI29">
            <v>2128.3422459893</v>
          </cell>
          <cell r="AJ29">
            <v>4826</v>
          </cell>
          <cell r="AL29">
            <v>7.6982806433722004</v>
          </cell>
        </row>
        <row r="30">
          <cell r="E30">
            <v>-13.311148086522</v>
          </cell>
          <cell r="H30">
            <v>1.0906355467002999</v>
          </cell>
          <cell r="I30">
            <v>1.4869004074107</v>
          </cell>
          <cell r="J30">
            <v>1.0460343871326001</v>
          </cell>
          <cell r="M30">
            <v>65.446478092069</v>
          </cell>
          <cell r="N30">
            <v>0.97037714919578</v>
          </cell>
          <cell r="O30">
            <v>-48.898926911037002</v>
          </cell>
          <cell r="P30">
            <v>0</v>
          </cell>
          <cell r="Q30">
            <v>0</v>
          </cell>
          <cell r="R30">
            <v>-0.72212978369383996</v>
          </cell>
          <cell r="T30">
            <v>2.1643109540599999E-3</v>
          </cell>
          <cell r="U30">
            <v>-1.1092623405435</v>
          </cell>
          <cell r="X30">
            <v>17.748197448696999</v>
          </cell>
          <cell r="Z30">
            <v>0</v>
          </cell>
          <cell r="AA30">
            <v>0.84876133892101002</v>
          </cell>
          <cell r="AB30">
            <v>0</v>
          </cell>
          <cell r="AD30">
            <v>0.53244592346090003</v>
          </cell>
          <cell r="AF30">
            <v>-0.83043669106568996</v>
          </cell>
          <cell r="AI30">
            <v>111.53552330023</v>
          </cell>
          <cell r="AJ30">
            <v>-90</v>
          </cell>
        </row>
        <row r="31">
          <cell r="C31">
            <v>-5.2595987677510996</v>
          </cell>
          <cell r="E31">
            <v>-138.65779256793999</v>
          </cell>
          <cell r="H31">
            <v>134.41267840442001</v>
          </cell>
          <cell r="I31">
            <v>46.688672792696003</v>
          </cell>
          <cell r="J31">
            <v>3.9611758180810002</v>
          </cell>
          <cell r="L31">
            <v>464.78092068773998</v>
          </cell>
          <cell r="M31">
            <v>2499.1680532445998</v>
          </cell>
          <cell r="N31">
            <v>133.61309040488001</v>
          </cell>
          <cell r="O31">
            <v>91.165322320680005</v>
          </cell>
          <cell r="P31">
            <v>-4.5409462404449004</v>
          </cell>
          <cell r="Q31">
            <v>1934.5535219078999</v>
          </cell>
          <cell r="R31">
            <v>0</v>
          </cell>
          <cell r="S31">
            <v>8.6581443245294007</v>
          </cell>
          <cell r="T31">
            <v>-2.6827388692579999</v>
          </cell>
          <cell r="U31">
            <v>3.3277870216305998</v>
          </cell>
          <cell r="X31">
            <v>1070.4381586244999</v>
          </cell>
          <cell r="Z31">
            <v>107.88289126149</v>
          </cell>
          <cell r="AA31">
            <v>882.65874489417001</v>
          </cell>
          <cell r="AD31">
            <v>57.201331114809001</v>
          </cell>
          <cell r="AF31">
            <v>104.8722907003</v>
          </cell>
          <cell r="AI31">
            <v>1182.5821237585999</v>
          </cell>
          <cell r="AJ31">
            <v>516</v>
          </cell>
          <cell r="AL31">
            <v>2.573488630061</v>
          </cell>
        </row>
        <row r="32">
          <cell r="C32">
            <v>3304.5307686527999</v>
          </cell>
          <cell r="E32">
            <v>987.24348308374999</v>
          </cell>
          <cell r="F32">
            <v>1217.2416490651999</v>
          </cell>
          <cell r="G32">
            <v>-39.098954837500003</v>
          </cell>
          <cell r="H32">
            <v>149.65156751921</v>
          </cell>
          <cell r="J32">
            <v>2.995008319468E-2</v>
          </cell>
          <cell r="L32">
            <v>590.12756516915999</v>
          </cell>
          <cell r="M32">
            <v>221.85246810871001</v>
          </cell>
          <cell r="N32">
            <v>-0.72986910704382002</v>
          </cell>
          <cell r="O32">
            <v>83.086259017027999</v>
          </cell>
          <cell r="P32">
            <v>0</v>
          </cell>
          <cell r="Q32">
            <v>13.311148086522</v>
          </cell>
          <cell r="R32">
            <v>170.10759844703</v>
          </cell>
          <cell r="S32">
            <v>0</v>
          </cell>
          <cell r="T32">
            <v>559.77036749116996</v>
          </cell>
          <cell r="U32">
            <v>0</v>
          </cell>
          <cell r="X32">
            <v>4959.5119245701999</v>
          </cell>
          <cell r="AA32">
            <v>30.157551323537</v>
          </cell>
          <cell r="AD32">
            <v>2.6444814198558002</v>
          </cell>
          <cell r="AF32">
            <v>438.82647432171001</v>
          </cell>
          <cell r="AI32">
            <v>3530.9396485867001</v>
          </cell>
          <cell r="AJ32">
            <v>18380</v>
          </cell>
          <cell r="AL32">
            <v>0</v>
          </cell>
        </row>
        <row r="33">
          <cell r="E33">
            <v>35.496394897393003</v>
          </cell>
          <cell r="H33">
            <v>300.34871711463001</v>
          </cell>
          <cell r="I33">
            <v>0.44607012222321002</v>
          </cell>
          <cell r="J33">
            <v>0</v>
          </cell>
          <cell r="K33">
            <v>0</v>
          </cell>
          <cell r="M33">
            <v>105.37992235164</v>
          </cell>
          <cell r="N33">
            <v>1.0262895174709999E-2</v>
          </cell>
          <cell r="O33">
            <v>173.02722121535999</v>
          </cell>
          <cell r="P33">
            <v>0</v>
          </cell>
          <cell r="R33">
            <v>71.894620077648</v>
          </cell>
          <cell r="S33">
            <v>431.79076168799998</v>
          </cell>
          <cell r="T33">
            <v>0</v>
          </cell>
          <cell r="U33">
            <v>7.7648363838048002</v>
          </cell>
          <cell r="X33">
            <v>55.463117027176999</v>
          </cell>
          <cell r="Z33">
            <v>-188.60905472267001</v>
          </cell>
          <cell r="AA33">
            <v>73.895284069810998</v>
          </cell>
          <cell r="AD33">
            <v>0.44925124792012999</v>
          </cell>
          <cell r="AF33">
            <v>19.100043894511</v>
          </cell>
          <cell r="AI33">
            <v>184.87394957983</v>
          </cell>
          <cell r="AJ33">
            <v>1993</v>
          </cell>
          <cell r="AL33">
            <v>-0.32168607875763</v>
          </cell>
        </row>
        <row r="34">
          <cell r="C34">
            <v>0</v>
          </cell>
          <cell r="G34">
            <v>0</v>
          </cell>
          <cell r="I34">
            <v>0</v>
          </cell>
          <cell r="J34">
            <v>31.721575152524</v>
          </cell>
          <cell r="K34">
            <v>0</v>
          </cell>
          <cell r="M34">
            <v>0</v>
          </cell>
          <cell r="N34">
            <v>3.1092623405400001E-3</v>
          </cell>
          <cell r="O34">
            <v>0</v>
          </cell>
          <cell r="P34">
            <v>1.0187388069815999</v>
          </cell>
          <cell r="Q34">
            <v>0</v>
          </cell>
          <cell r="R34">
            <v>-0.24403771491958001</v>
          </cell>
          <cell r="T34">
            <v>0</v>
          </cell>
          <cell r="U34">
            <v>0</v>
          </cell>
          <cell r="X34">
            <v>0</v>
          </cell>
          <cell r="Z34">
            <v>-0.62001661644532002</v>
          </cell>
          <cell r="AA34">
            <v>16.232560606863998</v>
          </cell>
          <cell r="AB34">
            <v>0</v>
          </cell>
          <cell r="AD34">
            <v>5.2135330005549999E-2</v>
          </cell>
          <cell r="AF34">
            <v>0</v>
          </cell>
          <cell r="AJ34">
            <v>0</v>
          </cell>
          <cell r="AL34">
            <v>45.890183028286003</v>
          </cell>
        </row>
        <row r="35">
          <cell r="E35">
            <v>5358.8463671658001</v>
          </cell>
          <cell r="G35">
            <v>150.68344402123</v>
          </cell>
          <cell r="H35">
            <v>1946.6433944618</v>
          </cell>
          <cell r="I35">
            <v>326.82070954887001</v>
          </cell>
          <cell r="J35">
            <v>27.327787021631</v>
          </cell>
          <cell r="L35">
            <v>3515.2523571825</v>
          </cell>
          <cell r="M35">
            <v>3608.4303937881</v>
          </cell>
          <cell r="N35">
            <v>-142.9368042152</v>
          </cell>
          <cell r="O35">
            <v>651.47141414214002</v>
          </cell>
          <cell r="P35">
            <v>106.41389066284999</v>
          </cell>
          <cell r="Q35">
            <v>2773.1558513588002</v>
          </cell>
          <cell r="R35">
            <v>1250.3682750971</v>
          </cell>
          <cell r="S35">
            <v>541.60093104841997</v>
          </cell>
          <cell r="T35">
            <v>66.281607773852002</v>
          </cell>
          <cell r="U35">
            <v>38.824181919023999</v>
          </cell>
          <cell r="X35">
            <v>27442.041042706998</v>
          </cell>
          <cell r="Z35">
            <v>1035.7997594336</v>
          </cell>
          <cell r="AA35">
            <v>1957.0845048008</v>
          </cell>
          <cell r="AD35">
            <v>45.493067110372003</v>
          </cell>
          <cell r="AE35">
            <v>2003.3277870216</v>
          </cell>
          <cell r="AF35">
            <v>1033.3005113116999</v>
          </cell>
          <cell r="AI35">
            <v>3662.3376623376998</v>
          </cell>
          <cell r="AJ35">
            <v>8750</v>
          </cell>
          <cell r="AL35">
            <v>43.039378813089002</v>
          </cell>
        </row>
        <row r="36">
          <cell r="C36">
            <v>0</v>
          </cell>
          <cell r="E36">
            <v>-93.178036605656999</v>
          </cell>
          <cell r="G36">
            <v>-264.35758771799999</v>
          </cell>
          <cell r="I36">
            <v>10.110922770393</v>
          </cell>
          <cell r="J36">
            <v>0</v>
          </cell>
          <cell r="M36">
            <v>-28.840820854132001</v>
          </cell>
          <cell r="N36">
            <v>2.6466999445399998E-3</v>
          </cell>
          <cell r="O36">
            <v>63.712780360609003</v>
          </cell>
          <cell r="P36">
            <v>-0.27921588307630002</v>
          </cell>
          <cell r="Q36">
            <v>0</v>
          </cell>
          <cell r="R36">
            <v>-7.2867443150305</v>
          </cell>
          <cell r="S36">
            <v>0.70647417445784</v>
          </cell>
          <cell r="T36">
            <v>12.886925795052999</v>
          </cell>
          <cell r="U36">
            <v>0</v>
          </cell>
          <cell r="X36">
            <v>726.56683305601996</v>
          </cell>
          <cell r="AA36">
            <v>0.18566654288897</v>
          </cell>
          <cell r="AB36">
            <v>0</v>
          </cell>
          <cell r="AD36">
            <v>0</v>
          </cell>
          <cell r="AJ36">
            <v>1358</v>
          </cell>
          <cell r="AL36">
            <v>0</v>
          </cell>
        </row>
        <row r="37">
          <cell r="C37">
            <v>640.91967841309997</v>
          </cell>
          <cell r="E37">
            <v>5867.9977814753001</v>
          </cell>
          <cell r="G37">
            <v>1175.7842844900999</v>
          </cell>
          <cell r="H37">
            <v>2915.5346236733999</v>
          </cell>
          <cell r="I37">
            <v>23.790406518571</v>
          </cell>
          <cell r="J37">
            <v>122.96283971158999</v>
          </cell>
          <cell r="L37">
            <v>5594.0099833611002</v>
          </cell>
          <cell r="M37">
            <v>4715.4742096505997</v>
          </cell>
          <cell r="N37">
            <v>264.96545535219002</v>
          </cell>
          <cell r="O37">
            <v>2156.5347858477999</v>
          </cell>
          <cell r="P37">
            <v>68.989292678433998</v>
          </cell>
          <cell r="Q37">
            <v>12603.438713256</v>
          </cell>
          <cell r="R37">
            <v>2538.1575152524001</v>
          </cell>
          <cell r="S37">
            <v>2970.5245644503998</v>
          </cell>
          <cell r="T37">
            <v>-58.375</v>
          </cell>
          <cell r="U37">
            <v>68.774265113699002</v>
          </cell>
          <cell r="X37">
            <v>0</v>
          </cell>
          <cell r="Y37">
            <v>115.40036257147</v>
          </cell>
          <cell r="Z37">
            <v>803.29352826655997</v>
          </cell>
          <cell r="AA37">
            <v>4146.3052357964998</v>
          </cell>
          <cell r="AD37">
            <v>41.099278979479003</v>
          </cell>
          <cell r="AF37">
            <v>3302.0535513032</v>
          </cell>
          <cell r="AI37">
            <v>10212.375859435</v>
          </cell>
          <cell r="AJ37">
            <v>16450</v>
          </cell>
          <cell r="AL37">
            <v>266.94398225179998</v>
          </cell>
        </row>
        <row r="38">
          <cell r="C38">
            <v>117.2139153956</v>
          </cell>
          <cell r="E38">
            <v>-11.092623405435001</v>
          </cell>
          <cell r="I38">
            <v>-0.14869004074107001</v>
          </cell>
          <cell r="J38">
            <v>0</v>
          </cell>
          <cell r="K38">
            <v>0</v>
          </cell>
          <cell r="M38">
            <v>3.3277870216305998</v>
          </cell>
          <cell r="N38">
            <v>0</v>
          </cell>
          <cell r="P38">
            <v>0</v>
          </cell>
          <cell r="Q38">
            <v>0</v>
          </cell>
          <cell r="R38">
            <v>0.13865779256794</v>
          </cell>
          <cell r="S38">
            <v>19.718960763556002</v>
          </cell>
          <cell r="T38">
            <v>0</v>
          </cell>
          <cell r="X38">
            <v>3.3277870216305998</v>
          </cell>
          <cell r="Y38">
            <v>0</v>
          </cell>
          <cell r="AA38">
            <v>-7.9571375523839999E-2</v>
          </cell>
          <cell r="AB38">
            <v>0</v>
          </cell>
          <cell r="AD38">
            <v>2.995008319468E-2</v>
          </cell>
          <cell r="AI38">
            <v>146.67685255921</v>
          </cell>
          <cell r="AJ38">
            <v>-64</v>
          </cell>
          <cell r="AL38">
            <v>0</v>
          </cell>
        </row>
        <row r="39">
          <cell r="E39">
            <v>-8.8740987243483005</v>
          </cell>
          <cell r="H39">
            <v>15.080998658155</v>
          </cell>
          <cell r="I39">
            <v>583.90578999018999</v>
          </cell>
          <cell r="J39">
            <v>55.192457016083999</v>
          </cell>
          <cell r="L39">
            <v>169.71713810316001</v>
          </cell>
          <cell r="M39">
            <v>140.87631724903</v>
          </cell>
          <cell r="N39">
            <v>9.9612368275096994</v>
          </cell>
          <cell r="O39">
            <v>89.797499229926004</v>
          </cell>
          <cell r="P39">
            <v>21.717216664441001</v>
          </cell>
          <cell r="R39">
            <v>-5.5873544093177996</v>
          </cell>
          <cell r="T39">
            <v>5.5928621908127001</v>
          </cell>
          <cell r="U39">
            <v>62.118691070437997</v>
          </cell>
          <cell r="X39">
            <v>1020.5213533001</v>
          </cell>
          <cell r="Z39">
            <v>0</v>
          </cell>
          <cell r="AA39">
            <v>101.95745583789</v>
          </cell>
          <cell r="AD39">
            <v>0.53022739877980996</v>
          </cell>
          <cell r="AF39">
            <v>2105.6315471036</v>
          </cell>
          <cell r="AI39">
            <v>582.12375859434997</v>
          </cell>
          <cell r="AJ39">
            <v>72</v>
          </cell>
          <cell r="AL39">
            <v>28.763172490294</v>
          </cell>
        </row>
        <row r="40">
          <cell r="C40">
            <v>0</v>
          </cell>
          <cell r="E40">
            <v>-62.118691070437997</v>
          </cell>
          <cell r="H40">
            <v>279.73947871346002</v>
          </cell>
          <cell r="I40">
            <v>14.720314033366</v>
          </cell>
          <cell r="J40">
            <v>9.5252357182473997</v>
          </cell>
          <cell r="L40">
            <v>-59.900166389351</v>
          </cell>
          <cell r="M40">
            <v>159.73377703827001</v>
          </cell>
          <cell r="N40">
            <v>0.18395008319468001</v>
          </cell>
          <cell r="O40">
            <v>49.107892719757999</v>
          </cell>
          <cell r="P40">
            <v>0</v>
          </cell>
          <cell r="Q40">
            <v>0</v>
          </cell>
          <cell r="R40">
            <v>0.40709927897948001</v>
          </cell>
          <cell r="T40">
            <v>0</v>
          </cell>
          <cell r="U40">
            <v>2.2185246810871</v>
          </cell>
          <cell r="X40">
            <v>165.28008874099001</v>
          </cell>
          <cell r="Z40">
            <v>-44.269186414196</v>
          </cell>
          <cell r="AA40">
            <v>0</v>
          </cell>
          <cell r="AD40">
            <v>1.3466444814198999</v>
          </cell>
          <cell r="AF40">
            <v>19.337311520530001</v>
          </cell>
          <cell r="AI40">
            <v>50.420168067227003</v>
          </cell>
          <cell r="AJ40">
            <v>22</v>
          </cell>
          <cell r="AL40">
            <v>256.38380476983002</v>
          </cell>
        </row>
        <row r="41">
          <cell r="C41">
            <v>0</v>
          </cell>
          <cell r="E41">
            <v>-8.8740987243483005</v>
          </cell>
          <cell r="G41">
            <v>0</v>
          </cell>
          <cell r="H41">
            <v>0.64095474321961998</v>
          </cell>
          <cell r="I41">
            <v>0.14869004074107001</v>
          </cell>
          <cell r="J41">
            <v>0.39489739323349998</v>
          </cell>
          <cell r="L41">
            <v>93.178036605656999</v>
          </cell>
          <cell r="M41">
            <v>13.311148086522</v>
          </cell>
          <cell r="N41">
            <v>2.40266222962E-3</v>
          </cell>
          <cell r="O41">
            <v>60.212834086691998</v>
          </cell>
          <cell r="P41">
            <v>0</v>
          </cell>
          <cell r="Q41">
            <v>112.03549639489999</v>
          </cell>
          <cell r="R41">
            <v>25.752634498058999</v>
          </cell>
          <cell r="T41">
            <v>1.8409893992933</v>
          </cell>
          <cell r="U41">
            <v>0</v>
          </cell>
          <cell r="X41">
            <v>-207.43205768164</v>
          </cell>
          <cell r="AA41">
            <v>138.79900270543001</v>
          </cell>
          <cell r="AB41">
            <v>0</v>
          </cell>
          <cell r="AD41">
            <v>0</v>
          </cell>
          <cell r="AF41">
            <v>0</v>
          </cell>
          <cell r="AI41">
            <v>271.96333078686001</v>
          </cell>
          <cell r="AJ41">
            <v>10</v>
          </cell>
          <cell r="AL41">
            <v>6.6555740432610005E-2</v>
          </cell>
        </row>
        <row r="42">
          <cell r="C42">
            <v>0</v>
          </cell>
          <cell r="G42">
            <v>0</v>
          </cell>
          <cell r="H42">
            <v>396.77249623876997</v>
          </cell>
          <cell r="I42">
            <v>0</v>
          </cell>
          <cell r="J42">
            <v>0.12423738214088</v>
          </cell>
          <cell r="M42">
            <v>3.3277870216305998</v>
          </cell>
          <cell r="N42">
            <v>0.18098613422074</v>
          </cell>
          <cell r="O42">
            <v>9.5159279927219007</v>
          </cell>
          <cell r="P42">
            <v>-0.12139782282064</v>
          </cell>
          <cell r="Q42">
            <v>0</v>
          </cell>
          <cell r="R42">
            <v>2.5978924015530001</v>
          </cell>
          <cell r="T42">
            <v>0</v>
          </cell>
          <cell r="U42">
            <v>0</v>
          </cell>
          <cell r="X42">
            <v>1.1092623405435</v>
          </cell>
          <cell r="AA42">
            <v>24.879316747122001</v>
          </cell>
          <cell r="AB42">
            <v>0</v>
          </cell>
          <cell r="AD42">
            <v>2.4703272323904999</v>
          </cell>
          <cell r="AF42">
            <v>0</v>
          </cell>
          <cell r="AJ42">
            <v>0</v>
          </cell>
          <cell r="AL42">
            <v>0.36605657237937</v>
          </cell>
        </row>
        <row r="43">
          <cell r="C43">
            <v>0</v>
          </cell>
          <cell r="E43">
            <v>0</v>
          </cell>
          <cell r="G43">
            <v>0</v>
          </cell>
          <cell r="H43">
            <v>5.3624608628472004</v>
          </cell>
          <cell r="I43">
            <v>0</v>
          </cell>
          <cell r="K43">
            <v>0</v>
          </cell>
          <cell r="M43">
            <v>21.075984470327001</v>
          </cell>
          <cell r="N43">
            <v>0.28948419301165002</v>
          </cell>
          <cell r="O43">
            <v>3.3180870649082999</v>
          </cell>
          <cell r="P43">
            <v>0</v>
          </cell>
          <cell r="Q43">
            <v>0</v>
          </cell>
          <cell r="R43">
            <v>39.176927343316997</v>
          </cell>
          <cell r="T43">
            <v>0</v>
          </cell>
          <cell r="U43">
            <v>0</v>
          </cell>
          <cell r="X43">
            <v>0</v>
          </cell>
          <cell r="Z43">
            <v>0</v>
          </cell>
          <cell r="AA43">
            <v>7.7714710094955004</v>
          </cell>
          <cell r="AB43">
            <v>0</v>
          </cell>
          <cell r="AD43">
            <v>0</v>
          </cell>
          <cell r="AF43">
            <v>0</v>
          </cell>
          <cell r="AJ43">
            <v>-1</v>
          </cell>
          <cell r="AL43">
            <v>0.13311148086522001</v>
          </cell>
        </row>
        <row r="44">
          <cell r="C44">
            <v>0</v>
          </cell>
          <cell r="E44">
            <v>61.009428729894999</v>
          </cell>
          <cell r="G44">
            <v>1556.1991662512</v>
          </cell>
          <cell r="H44">
            <v>112.68735005896001</v>
          </cell>
          <cell r="I44">
            <v>174.71079787075999</v>
          </cell>
          <cell r="J44">
            <v>7.5562950637826001</v>
          </cell>
          <cell r="L44">
            <v>988.35274542428999</v>
          </cell>
          <cell r="M44">
            <v>1534.1098169717</v>
          </cell>
          <cell r="N44">
            <v>155.29659345535001</v>
          </cell>
          <cell r="O44">
            <v>145.63767129665999</v>
          </cell>
          <cell r="P44">
            <v>0.43759838182622002</v>
          </cell>
          <cell r="Q44">
            <v>168.60787576262001</v>
          </cell>
          <cell r="R44">
            <v>715.44315030505004</v>
          </cell>
          <cell r="S44">
            <v>25.992908126540001</v>
          </cell>
          <cell r="T44">
            <v>8.7939929328621993</v>
          </cell>
          <cell r="X44">
            <v>881.86356073211005</v>
          </cell>
          <cell r="Z44">
            <v>18.724501816648999</v>
          </cell>
          <cell r="AA44">
            <v>710.81109755450996</v>
          </cell>
          <cell r="AD44">
            <v>-0.44592346089849999</v>
          </cell>
          <cell r="AE44">
            <v>0</v>
          </cell>
          <cell r="AF44">
            <v>218.28621593726999</v>
          </cell>
          <cell r="AI44">
            <v>1587.4713521772001</v>
          </cell>
          <cell r="AJ44">
            <v>2109</v>
          </cell>
          <cell r="AL44">
            <v>-11.913477537438</v>
          </cell>
        </row>
        <row r="45">
          <cell r="C45">
            <v>124.72762792096</v>
          </cell>
          <cell r="E45">
            <v>371.60288408208999</v>
          </cell>
          <cell r="G45">
            <v>50.877145624687998</v>
          </cell>
          <cell r="H45">
            <v>218.41755784166</v>
          </cell>
          <cell r="I45">
            <v>1334.4931156511</v>
          </cell>
          <cell r="J45">
            <v>410.50138657793002</v>
          </cell>
          <cell r="L45">
            <v>298.39156960621</v>
          </cell>
          <cell r="M45">
            <v>1789.2401552967001</v>
          </cell>
          <cell r="N45">
            <v>4.3073444259566998</v>
          </cell>
          <cell r="O45">
            <v>65.009065381061006</v>
          </cell>
          <cell r="P45">
            <v>-4.9464313690555004</v>
          </cell>
          <cell r="Q45">
            <v>168.60787576262001</v>
          </cell>
          <cell r="R45">
            <v>209.89683860233001</v>
          </cell>
          <cell r="S45">
            <v>89.767526460241001</v>
          </cell>
          <cell r="T45">
            <v>14.602270318021001</v>
          </cell>
          <cell r="U45">
            <v>277.31558513587999</v>
          </cell>
          <cell r="X45">
            <v>300.6100942873</v>
          </cell>
          <cell r="Z45">
            <v>3005.9645598502002</v>
          </cell>
          <cell r="AA45">
            <v>863.53509097661004</v>
          </cell>
          <cell r="AD45">
            <v>8.0399334442595993</v>
          </cell>
          <cell r="AI45">
            <v>2731.8563789151999</v>
          </cell>
          <cell r="AJ45">
            <v>2490</v>
          </cell>
          <cell r="AL45">
            <v>304.27066001109</v>
          </cell>
        </row>
        <row r="46">
          <cell r="C46">
            <v>39.822676384402001</v>
          </cell>
          <cell r="E46">
            <v>585.69051580698999</v>
          </cell>
          <cell r="G46">
            <v>209.95480568600999</v>
          </cell>
          <cell r="H46">
            <v>469.98694750538999</v>
          </cell>
          <cell r="I46">
            <v>220.95340054123</v>
          </cell>
          <cell r="J46">
            <v>19.231281198003</v>
          </cell>
          <cell r="L46">
            <v>2239.6006655574001</v>
          </cell>
          <cell r="M46">
            <v>3001.6638935107999</v>
          </cell>
          <cell r="N46">
            <v>7.3667443150305001</v>
          </cell>
          <cell r="O46">
            <v>354.18835648330997</v>
          </cell>
          <cell r="P46">
            <v>4.4529888266958997</v>
          </cell>
          <cell r="Q46">
            <v>5874.6533555185997</v>
          </cell>
          <cell r="R46">
            <v>709.81364392678995</v>
          </cell>
          <cell r="S46">
            <v>1067.2001679555001</v>
          </cell>
          <cell r="T46">
            <v>216.62720848057</v>
          </cell>
          <cell r="U46">
            <v>12.201885745979</v>
          </cell>
          <cell r="X46">
            <v>19759.290072102001</v>
          </cell>
          <cell r="Z46">
            <v>-445.04792728445</v>
          </cell>
          <cell r="AA46">
            <v>505.54347249482998</v>
          </cell>
          <cell r="AD46">
            <v>162.94620077648</v>
          </cell>
          <cell r="AF46">
            <v>1282.4315186314</v>
          </cell>
          <cell r="AG46">
            <v>0</v>
          </cell>
          <cell r="AI46">
            <v>3393.4300993124998</v>
          </cell>
          <cell r="AJ46">
            <v>18487</v>
          </cell>
          <cell r="AL46">
            <v>104.08208541320001</v>
          </cell>
        </row>
        <row r="47">
          <cell r="C47">
            <v>0</v>
          </cell>
          <cell r="E47">
            <v>-34.387132556849998</v>
          </cell>
          <cell r="H47">
            <v>1.2585695116497</v>
          </cell>
          <cell r="I47">
            <v>-1.0408302851875</v>
          </cell>
          <cell r="J47">
            <v>1.1580698835275001</v>
          </cell>
          <cell r="L47">
            <v>3.3277870216305998</v>
          </cell>
          <cell r="M47">
            <v>70.992789794786006</v>
          </cell>
          <cell r="N47">
            <v>-3.8115596228508002</v>
          </cell>
          <cell r="O47">
            <v>4.9556294189703003</v>
          </cell>
          <cell r="P47">
            <v>-0.84316628055628995</v>
          </cell>
          <cell r="Q47">
            <v>0</v>
          </cell>
          <cell r="R47">
            <v>3.6849694952855998</v>
          </cell>
          <cell r="T47">
            <v>0</v>
          </cell>
          <cell r="U47">
            <v>0</v>
          </cell>
          <cell r="X47">
            <v>84.303937881308997</v>
          </cell>
          <cell r="Z47">
            <v>0</v>
          </cell>
          <cell r="AA47">
            <v>0.53047583682563004</v>
          </cell>
          <cell r="AD47">
            <v>-0.69550748752080005</v>
          </cell>
          <cell r="AF47">
            <v>0</v>
          </cell>
          <cell r="AI47">
            <v>29.029793735676002</v>
          </cell>
        </row>
        <row r="48">
          <cell r="C48">
            <v>1646.2544143061</v>
          </cell>
          <cell r="E48">
            <v>421.51968940654001</v>
          </cell>
          <cell r="F48">
            <v>3406.0862082453</v>
          </cell>
          <cell r="G48">
            <v>303.38348776194999</v>
          </cell>
          <cell r="H48">
            <v>506.76725084373999</v>
          </cell>
          <cell r="I48">
            <v>533.79724626045004</v>
          </cell>
          <cell r="J48">
            <v>38.762063227953</v>
          </cell>
          <cell r="L48">
            <v>2678.8685524125999</v>
          </cell>
          <cell r="M48">
            <v>394.8973932335</v>
          </cell>
          <cell r="N48">
            <v>169.23626067665001</v>
          </cell>
          <cell r="O48">
            <v>453.17292277054997</v>
          </cell>
          <cell r="P48">
            <v>-11.464494247704</v>
          </cell>
          <cell r="Q48">
            <v>3345.5352190793001</v>
          </cell>
          <cell r="R48">
            <v>-181.25679423183999</v>
          </cell>
          <cell r="S48">
            <v>404.97286862316002</v>
          </cell>
          <cell r="T48">
            <v>181.13474381624999</v>
          </cell>
          <cell r="U48">
            <v>2.2185246810871</v>
          </cell>
          <cell r="X48">
            <v>22753.189129228998</v>
          </cell>
          <cell r="Y48">
            <v>189.03834890530999</v>
          </cell>
          <cell r="Z48">
            <v>-295.00390610468003</v>
          </cell>
          <cell r="AA48">
            <v>972.36220890137997</v>
          </cell>
          <cell r="AD48">
            <v>37.405435385468998</v>
          </cell>
          <cell r="AE48">
            <v>1494.1763727120999</v>
          </cell>
          <cell r="AF48">
            <v>4576.536604463</v>
          </cell>
          <cell r="AI48">
            <v>0</v>
          </cell>
          <cell r="AJ48">
            <v>9348</v>
          </cell>
          <cell r="AL48">
            <v>153.16694398224999</v>
          </cell>
        </row>
        <row r="49">
          <cell r="C49">
            <v>6104.8914268540002</v>
          </cell>
          <cell r="E49">
            <v>93.178036605656999</v>
          </cell>
          <cell r="F49">
            <v>17893.295783461999</v>
          </cell>
          <cell r="G49">
            <v>2118.9092719373998</v>
          </cell>
          <cell r="H49">
            <v>113.8049444964</v>
          </cell>
          <cell r="I49">
            <v>636.69075445326996</v>
          </cell>
          <cell r="J49">
            <v>16.867443150305</v>
          </cell>
          <cell r="L49">
            <v>2844.1486411535998</v>
          </cell>
          <cell r="M49">
            <v>2767.6095396561</v>
          </cell>
          <cell r="N49">
            <v>17.652835274541999</v>
          </cell>
          <cell r="O49">
            <v>-201.71289139451</v>
          </cell>
          <cell r="P49">
            <v>-114.44699865985</v>
          </cell>
          <cell r="Q49">
            <v>784.24847476427999</v>
          </cell>
          <cell r="R49">
            <v>223.17470881864</v>
          </cell>
          <cell r="S49">
            <v>8615.6865416607998</v>
          </cell>
          <cell r="T49">
            <v>627.96815371025002</v>
          </cell>
          <cell r="U49">
            <v>2.2185246810871</v>
          </cell>
          <cell r="X49">
            <v>37396.561286744</v>
          </cell>
          <cell r="Y49">
            <v>341.62222842003001</v>
          </cell>
          <cell r="Z49">
            <v>94.490532346267003</v>
          </cell>
          <cell r="AA49">
            <v>189.43292133042999</v>
          </cell>
          <cell r="AD49">
            <v>12.189683860233</v>
          </cell>
          <cell r="AF49">
            <v>364.32443975182002</v>
          </cell>
          <cell r="AI49">
            <v>29590.527119939001</v>
          </cell>
          <cell r="AJ49">
            <v>0</v>
          </cell>
          <cell r="AL49">
            <v>39.201331114809001</v>
          </cell>
        </row>
        <row r="50">
          <cell r="C50">
            <v>0</v>
          </cell>
          <cell r="E50">
            <v>0</v>
          </cell>
          <cell r="I50">
            <v>0</v>
          </cell>
          <cell r="J50">
            <v>0</v>
          </cell>
          <cell r="M50">
            <v>0</v>
          </cell>
          <cell r="N50">
            <v>1.976927343317E-2</v>
          </cell>
          <cell r="O50">
            <v>0</v>
          </cell>
          <cell r="P50">
            <v>0</v>
          </cell>
          <cell r="Q50">
            <v>0</v>
          </cell>
          <cell r="R50">
            <v>-0.56794231835829001</v>
          </cell>
          <cell r="T50">
            <v>0</v>
          </cell>
          <cell r="U50">
            <v>0</v>
          </cell>
          <cell r="X50">
            <v>0</v>
          </cell>
          <cell r="Z50">
            <v>0</v>
          </cell>
          <cell r="AA50">
            <v>0</v>
          </cell>
          <cell r="AB50">
            <v>0</v>
          </cell>
          <cell r="AD50">
            <v>1.10926234054E-3</v>
          </cell>
          <cell r="AF50">
            <v>0</v>
          </cell>
          <cell r="AI50">
            <v>0</v>
          </cell>
          <cell r="AJ50">
            <v>0</v>
          </cell>
          <cell r="AL50">
            <v>0</v>
          </cell>
        </row>
        <row r="51">
          <cell r="C51">
            <v>0</v>
          </cell>
          <cell r="E51">
            <v>0</v>
          </cell>
          <cell r="G51">
            <v>0</v>
          </cell>
          <cell r="H51">
            <v>0</v>
          </cell>
          <cell r="I51">
            <v>0</v>
          </cell>
          <cell r="K51">
            <v>0</v>
          </cell>
          <cell r="M51">
            <v>0</v>
          </cell>
          <cell r="N51">
            <v>0</v>
          </cell>
          <cell r="O51">
            <v>0</v>
          </cell>
          <cell r="P51">
            <v>0</v>
          </cell>
          <cell r="Q51">
            <v>0</v>
          </cell>
          <cell r="R51">
            <v>0</v>
          </cell>
          <cell r="T51">
            <v>0</v>
          </cell>
          <cell r="U51">
            <v>0</v>
          </cell>
          <cell r="X51">
            <v>0</v>
          </cell>
          <cell r="AA51">
            <v>-0.53047583682563004</v>
          </cell>
          <cell r="AD51">
            <v>0</v>
          </cell>
          <cell r="AF51">
            <v>0</v>
          </cell>
          <cell r="AJ51">
            <v>0</v>
          </cell>
          <cell r="AL51">
            <v>0</v>
          </cell>
        </row>
        <row r="52">
          <cell r="C52">
            <v>0</v>
          </cell>
          <cell r="G52">
            <v>0</v>
          </cell>
          <cell r="H52">
            <v>0</v>
          </cell>
          <cell r="I52">
            <v>0.29738008148214001</v>
          </cell>
          <cell r="J52">
            <v>12.290626733222</v>
          </cell>
          <cell r="K52">
            <v>0</v>
          </cell>
          <cell r="L52">
            <v>0</v>
          </cell>
          <cell r="M52">
            <v>1.1092623405435</v>
          </cell>
          <cell r="N52">
            <v>1.1072656683310001E-2</v>
          </cell>
          <cell r="P52">
            <v>0</v>
          </cell>
          <cell r="Q52">
            <v>0</v>
          </cell>
          <cell r="R52">
            <v>1.885745978924E-2</v>
          </cell>
          <cell r="T52">
            <v>0</v>
          </cell>
          <cell r="U52">
            <v>4.4370493621742</v>
          </cell>
          <cell r="X52">
            <v>0</v>
          </cell>
          <cell r="Z52">
            <v>0</v>
          </cell>
          <cell r="AA52">
            <v>1.9097130125723001</v>
          </cell>
          <cell r="AB52">
            <v>0</v>
          </cell>
          <cell r="AD52">
            <v>-3.3277870216299999E-3</v>
          </cell>
          <cell r="AF52">
            <v>0</v>
          </cell>
          <cell r="AJ52">
            <v>0</v>
          </cell>
          <cell r="AL52">
            <v>18.447032723239001</v>
          </cell>
        </row>
        <row r="53">
          <cell r="C53">
            <v>0</v>
          </cell>
          <cell r="G53">
            <v>0</v>
          </cell>
          <cell r="I53">
            <v>0</v>
          </cell>
          <cell r="J53">
            <v>0</v>
          </cell>
          <cell r="K53">
            <v>0</v>
          </cell>
          <cell r="M53">
            <v>14.420410427066001</v>
          </cell>
          <cell r="N53">
            <v>0</v>
          </cell>
          <cell r="O53">
            <v>0</v>
          </cell>
          <cell r="P53">
            <v>0</v>
          </cell>
          <cell r="Q53">
            <v>0</v>
          </cell>
          <cell r="R53">
            <v>-1.4420410427070001E-2</v>
          </cell>
          <cell r="T53">
            <v>0</v>
          </cell>
          <cell r="U53">
            <v>0</v>
          </cell>
          <cell r="X53">
            <v>0</v>
          </cell>
          <cell r="Z53">
            <v>0</v>
          </cell>
          <cell r="AA53">
            <v>0</v>
          </cell>
          <cell r="AB53">
            <v>0</v>
          </cell>
          <cell r="AD53">
            <v>2.4381586245147</v>
          </cell>
          <cell r="AF53">
            <v>0</v>
          </cell>
          <cell r="AI53">
            <v>0</v>
          </cell>
          <cell r="AJ53">
            <v>0</v>
          </cell>
          <cell r="AL53">
            <v>0.16638935108153</v>
          </cell>
        </row>
        <row r="54">
          <cell r="C54">
            <v>0</v>
          </cell>
          <cell r="E54">
            <v>-1.1092623405435</v>
          </cell>
          <cell r="G54">
            <v>0</v>
          </cell>
          <cell r="H54">
            <v>0</v>
          </cell>
          <cell r="I54">
            <v>0</v>
          </cell>
          <cell r="J54">
            <v>-4.8807542983920003E-2</v>
          </cell>
          <cell r="K54">
            <v>0</v>
          </cell>
          <cell r="M54">
            <v>18.85745978924</v>
          </cell>
          <cell r="N54">
            <v>-0.99606433721575005</v>
          </cell>
          <cell r="O54">
            <v>-0.95812589095753997</v>
          </cell>
          <cell r="P54">
            <v>0</v>
          </cell>
          <cell r="Q54">
            <v>0</v>
          </cell>
          <cell r="R54">
            <v>1.0105379922352</v>
          </cell>
          <cell r="T54">
            <v>0</v>
          </cell>
          <cell r="U54">
            <v>0</v>
          </cell>
          <cell r="X54">
            <v>1.1092623405435</v>
          </cell>
          <cell r="Z54">
            <v>0</v>
          </cell>
          <cell r="AA54">
            <v>-7.9571375523839999E-2</v>
          </cell>
          <cell r="AB54">
            <v>0</v>
          </cell>
          <cell r="AD54">
            <v>1.3544093178037</v>
          </cell>
          <cell r="AF54">
            <v>0</v>
          </cell>
          <cell r="AJ54">
            <v>2</v>
          </cell>
          <cell r="AL54">
            <v>0.58790904048808001</v>
          </cell>
        </row>
        <row r="55">
          <cell r="C55">
            <v>0</v>
          </cell>
          <cell r="E55">
            <v>0</v>
          </cell>
          <cell r="G55">
            <v>0</v>
          </cell>
          <cell r="H55">
            <v>2.3267596470540002</v>
          </cell>
          <cell r="I55">
            <v>0</v>
          </cell>
          <cell r="K55">
            <v>0</v>
          </cell>
          <cell r="M55">
            <v>1.1092623405435</v>
          </cell>
          <cell r="N55">
            <v>-7.7870216306199997E-3</v>
          </cell>
          <cell r="O55">
            <v>5.7919224625170997</v>
          </cell>
          <cell r="P55">
            <v>0</v>
          </cell>
          <cell r="Q55">
            <v>0</v>
          </cell>
          <cell r="R55">
            <v>-0.52579034941764002</v>
          </cell>
          <cell r="T55">
            <v>0</v>
          </cell>
          <cell r="U55">
            <v>0</v>
          </cell>
          <cell r="X55">
            <v>69.883527454242994</v>
          </cell>
          <cell r="Z55">
            <v>0</v>
          </cell>
          <cell r="AA55">
            <v>4.1907591109225004</v>
          </cell>
          <cell r="AB55">
            <v>0</v>
          </cell>
          <cell r="AD55">
            <v>29.662784248474999</v>
          </cell>
          <cell r="AF55">
            <v>0</v>
          </cell>
          <cell r="AI55">
            <v>0</v>
          </cell>
          <cell r="AJ55">
            <v>0</v>
          </cell>
          <cell r="AL55">
            <v>0</v>
          </cell>
        </row>
        <row r="56">
          <cell r="C56">
            <v>0</v>
          </cell>
          <cell r="E56">
            <v>4.4370493621742</v>
          </cell>
          <cell r="H56">
            <v>664.56727524092003</v>
          </cell>
          <cell r="I56">
            <v>19.329705296339</v>
          </cell>
          <cell r="J56">
            <v>25.108153078202999</v>
          </cell>
          <cell r="M56">
            <v>567.94231835828998</v>
          </cell>
          <cell r="N56">
            <v>170.18215196893999</v>
          </cell>
          <cell r="O56">
            <v>98.402401197732999</v>
          </cell>
          <cell r="P56">
            <v>0.40911867299790999</v>
          </cell>
          <cell r="R56">
            <v>-18.695507487520999</v>
          </cell>
          <cell r="T56">
            <v>0</v>
          </cell>
          <cell r="U56">
            <v>76.539101497504006</v>
          </cell>
          <cell r="X56">
            <v>350.52689961175997</v>
          </cell>
          <cell r="Z56">
            <v>147.4399513907</v>
          </cell>
          <cell r="AA56">
            <v>95.193888918360003</v>
          </cell>
          <cell r="AD56">
            <v>20.055463117026999</v>
          </cell>
          <cell r="AF56">
            <v>43.064074122405998</v>
          </cell>
          <cell r="AI56">
            <v>262.79602750190998</v>
          </cell>
          <cell r="AJ56">
            <v>94</v>
          </cell>
          <cell r="AL56">
            <v>31.236827509706</v>
          </cell>
        </row>
        <row r="57">
          <cell r="C57">
            <v>0</v>
          </cell>
          <cell r="D57">
            <v>0</v>
          </cell>
          <cell r="G57">
            <v>0</v>
          </cell>
          <cell r="H57">
            <v>0</v>
          </cell>
          <cell r="I57">
            <v>0</v>
          </cell>
          <cell r="J57">
            <v>0</v>
          </cell>
          <cell r="K57">
            <v>0</v>
          </cell>
          <cell r="M57">
            <v>0</v>
          </cell>
          <cell r="N57">
            <v>0</v>
          </cell>
          <cell r="O57">
            <v>0</v>
          </cell>
          <cell r="P57">
            <v>-3.6898361664977002</v>
          </cell>
          <cell r="Q57">
            <v>0</v>
          </cell>
          <cell r="R57">
            <v>0</v>
          </cell>
          <cell r="T57">
            <v>0</v>
          </cell>
          <cell r="U57">
            <v>0</v>
          </cell>
          <cell r="X57">
            <v>1.1092623405435</v>
          </cell>
          <cell r="AA57">
            <v>0</v>
          </cell>
          <cell r="AB57">
            <v>0</v>
          </cell>
          <cell r="AD57">
            <v>0</v>
          </cell>
          <cell r="AF57">
            <v>0</v>
          </cell>
          <cell r="AL57">
            <v>-4.4370493621739997E-2</v>
          </cell>
        </row>
        <row r="58">
          <cell r="C58">
            <v>0</v>
          </cell>
          <cell r="E58">
            <v>0</v>
          </cell>
          <cell r="H58">
            <v>-1.7257756272110001</v>
          </cell>
          <cell r="I58">
            <v>0.14869004074107001</v>
          </cell>
          <cell r="J58">
            <v>0.23738214087632001</v>
          </cell>
          <cell r="M58">
            <v>21.075984470327001</v>
          </cell>
          <cell r="N58">
            <v>8.4581253466400001E-3</v>
          </cell>
          <cell r="P58">
            <v>0</v>
          </cell>
          <cell r="R58">
            <v>59.840266222962001</v>
          </cell>
          <cell r="T58">
            <v>0</v>
          </cell>
          <cell r="U58">
            <v>0</v>
          </cell>
          <cell r="X58">
            <v>16.638935108152999</v>
          </cell>
          <cell r="AA58">
            <v>4.1111877353987003</v>
          </cell>
          <cell r="AB58">
            <v>0</v>
          </cell>
          <cell r="AD58">
            <v>0.31281198003327998</v>
          </cell>
          <cell r="AF58">
            <v>0</v>
          </cell>
          <cell r="AI58">
            <v>99.312452253629004</v>
          </cell>
          <cell r="AJ58">
            <v>797</v>
          </cell>
          <cell r="AL58">
            <v>-0.3771491957848</v>
          </cell>
        </row>
        <row r="59">
          <cell r="G59">
            <v>0</v>
          </cell>
          <cell r="I59">
            <v>0</v>
          </cell>
          <cell r="J59">
            <v>10.027731558514001</v>
          </cell>
          <cell r="M59">
            <v>43.261231281198</v>
          </cell>
          <cell r="N59">
            <v>-14.309204658902001</v>
          </cell>
          <cell r="O59">
            <v>13.568468520096999</v>
          </cell>
          <cell r="P59">
            <v>0</v>
          </cell>
          <cell r="R59">
            <v>0</v>
          </cell>
          <cell r="T59">
            <v>0</v>
          </cell>
          <cell r="U59">
            <v>-2.2185246810871</v>
          </cell>
          <cell r="X59">
            <v>5.5463117027177002</v>
          </cell>
          <cell r="Z59">
            <v>-12.524335652194999</v>
          </cell>
          <cell r="AA59">
            <v>-8.2488992626386004</v>
          </cell>
          <cell r="AD59">
            <v>0</v>
          </cell>
          <cell r="AF59">
            <v>-3.0844791382440002</v>
          </cell>
          <cell r="AI59">
            <v>932.00916730329004</v>
          </cell>
          <cell r="AL59">
            <v>0</v>
          </cell>
        </row>
        <row r="60">
          <cell r="C60">
            <v>0</v>
          </cell>
          <cell r="E60">
            <v>0</v>
          </cell>
          <cell r="G60">
            <v>0</v>
          </cell>
          <cell r="H60">
            <v>0</v>
          </cell>
          <cell r="I60">
            <v>0</v>
          </cell>
          <cell r="J60">
            <v>0</v>
          </cell>
          <cell r="K60">
            <v>0</v>
          </cell>
          <cell r="M60">
            <v>0</v>
          </cell>
          <cell r="N60">
            <v>0</v>
          </cell>
          <cell r="O60">
            <v>0</v>
          </cell>
          <cell r="P60">
            <v>0</v>
          </cell>
          <cell r="Q60">
            <v>0</v>
          </cell>
          <cell r="R60">
            <v>0</v>
          </cell>
          <cell r="T60">
            <v>0</v>
          </cell>
          <cell r="U60">
            <v>0</v>
          </cell>
          <cell r="X60">
            <v>0</v>
          </cell>
          <cell r="Z60">
            <v>0</v>
          </cell>
          <cell r="AA60">
            <v>0</v>
          </cell>
          <cell r="AB60">
            <v>0</v>
          </cell>
          <cell r="AD60">
            <v>0</v>
          </cell>
          <cell r="AF60">
            <v>0</v>
          </cell>
          <cell r="AI60">
            <v>0</v>
          </cell>
          <cell r="AJ60">
            <v>0</v>
          </cell>
          <cell r="AL60">
            <v>0</v>
          </cell>
        </row>
        <row r="61">
          <cell r="H61">
            <v>0.80486317244743999</v>
          </cell>
          <cell r="I61">
            <v>0</v>
          </cell>
          <cell r="J61">
            <v>0</v>
          </cell>
          <cell r="K61">
            <v>0</v>
          </cell>
          <cell r="M61">
            <v>1.1092623405435</v>
          </cell>
          <cell r="N61">
            <v>-4.4326123128120003E-2</v>
          </cell>
          <cell r="O61">
            <v>8.6229682586302001</v>
          </cell>
          <cell r="P61">
            <v>-1.6576016197598</v>
          </cell>
          <cell r="R61">
            <v>-20.855241264559002</v>
          </cell>
          <cell r="T61">
            <v>0</v>
          </cell>
          <cell r="U61">
            <v>0</v>
          </cell>
          <cell r="X61">
            <v>3.3277870216305998</v>
          </cell>
          <cell r="Z61">
            <v>-15.500415411133</v>
          </cell>
          <cell r="AA61">
            <v>-2.6523791841279998E-2</v>
          </cell>
          <cell r="AD61">
            <v>-3.8824181919019998E-2</v>
          </cell>
          <cell r="AF61">
            <v>0</v>
          </cell>
          <cell r="AI61">
            <v>276.54698242934001</v>
          </cell>
          <cell r="AL61">
            <v>1.0427066001109</v>
          </cell>
        </row>
        <row r="62">
          <cell r="C62">
            <v>62.363813960477998</v>
          </cell>
          <cell r="E62">
            <v>0</v>
          </cell>
          <cell r="G62">
            <v>0</v>
          </cell>
          <cell r="H62">
            <v>0.67661529703573997</v>
          </cell>
          <cell r="I62">
            <v>3.4198709370446001</v>
          </cell>
          <cell r="J62">
            <v>1.1780366056572</v>
          </cell>
          <cell r="M62">
            <v>216.30615640599001</v>
          </cell>
          <cell r="N62">
            <v>0</v>
          </cell>
          <cell r="O62">
            <v>226.94396727723</v>
          </cell>
          <cell r="P62">
            <v>-0.16657088652659</v>
          </cell>
          <cell r="R62">
            <v>0.18968386023295</v>
          </cell>
          <cell r="T62">
            <v>0</v>
          </cell>
          <cell r="U62">
            <v>0</v>
          </cell>
          <cell r="X62">
            <v>297.28230726567</v>
          </cell>
          <cell r="Z62">
            <v>190.96511786516001</v>
          </cell>
          <cell r="AA62">
            <v>0</v>
          </cell>
          <cell r="AD62">
            <v>0</v>
          </cell>
          <cell r="AF62">
            <v>42.945440309397</v>
          </cell>
          <cell r="AI62">
            <v>2750.1909854851001</v>
          </cell>
          <cell r="AL62">
            <v>0</v>
          </cell>
        </row>
        <row r="63">
          <cell r="C63">
            <v>0</v>
          </cell>
          <cell r="H63">
            <v>5.0443622168909998</v>
          </cell>
          <cell r="I63">
            <v>1.6355904481518</v>
          </cell>
          <cell r="J63">
            <v>0.47920133111481</v>
          </cell>
          <cell r="K63">
            <v>0</v>
          </cell>
          <cell r="M63">
            <v>94.287298946201005</v>
          </cell>
          <cell r="N63">
            <v>-9.0087565169163</v>
          </cell>
          <cell r="O63">
            <v>5.2081921531265003</v>
          </cell>
          <cell r="P63">
            <v>0</v>
          </cell>
          <cell r="Q63">
            <v>0</v>
          </cell>
          <cell r="R63">
            <v>31.034941763727002</v>
          </cell>
          <cell r="T63">
            <v>2.5512367491166001</v>
          </cell>
          <cell r="U63">
            <v>0</v>
          </cell>
          <cell r="X63">
            <v>282.86189683859999</v>
          </cell>
          <cell r="Z63">
            <v>0</v>
          </cell>
          <cell r="AA63">
            <v>7.6918996339717003</v>
          </cell>
          <cell r="AD63">
            <v>2.0765391014975001</v>
          </cell>
          <cell r="AF63">
            <v>3.6776482032909001</v>
          </cell>
          <cell r="AI63">
            <v>542.39877769290001</v>
          </cell>
          <cell r="AJ63">
            <v>51</v>
          </cell>
        </row>
        <row r="64">
          <cell r="C64">
            <v>0</v>
          </cell>
          <cell r="G64">
            <v>0</v>
          </cell>
          <cell r="I64">
            <v>3.1224908555624999</v>
          </cell>
          <cell r="J64">
            <v>46.853022739878</v>
          </cell>
          <cell r="K64">
            <v>0</v>
          </cell>
          <cell r="M64">
            <v>1.1092623405435</v>
          </cell>
          <cell r="N64">
            <v>0</v>
          </cell>
          <cell r="O64">
            <v>3.8178829057931001</v>
          </cell>
          <cell r="P64">
            <v>-7.0022778522840001E-2</v>
          </cell>
          <cell r="Q64">
            <v>0</v>
          </cell>
          <cell r="R64">
            <v>6.6555740432599998E-3</v>
          </cell>
          <cell r="T64">
            <v>0</v>
          </cell>
          <cell r="U64">
            <v>21.075984470327001</v>
          </cell>
          <cell r="X64">
            <v>0</v>
          </cell>
          <cell r="AA64">
            <v>11.458278075434</v>
          </cell>
          <cell r="AB64">
            <v>0</v>
          </cell>
          <cell r="AD64">
            <v>0.14198557958957</v>
          </cell>
          <cell r="AF64">
            <v>-20.049114398585999</v>
          </cell>
          <cell r="AJ64">
            <v>0</v>
          </cell>
          <cell r="AL64">
            <v>0</v>
          </cell>
        </row>
        <row r="65">
          <cell r="C65">
            <v>0</v>
          </cell>
          <cell r="E65">
            <v>0</v>
          </cell>
          <cell r="G65">
            <v>0</v>
          </cell>
          <cell r="H65">
            <v>0</v>
          </cell>
          <cell r="I65">
            <v>0</v>
          </cell>
          <cell r="J65">
            <v>0</v>
          </cell>
          <cell r="M65">
            <v>0</v>
          </cell>
          <cell r="N65">
            <v>3.6075418746533998</v>
          </cell>
          <cell r="P65">
            <v>0</v>
          </cell>
          <cell r="R65">
            <v>0</v>
          </cell>
          <cell r="T65">
            <v>0</v>
          </cell>
          <cell r="U65">
            <v>0</v>
          </cell>
          <cell r="X65">
            <v>0</v>
          </cell>
          <cell r="Z65">
            <v>0</v>
          </cell>
          <cell r="AA65">
            <v>0</v>
          </cell>
          <cell r="AB65">
            <v>0</v>
          </cell>
          <cell r="AD65">
            <v>0.47920133111481</v>
          </cell>
          <cell r="AF65">
            <v>0</v>
          </cell>
          <cell r="AI65">
            <v>0</v>
          </cell>
          <cell r="AJ65">
            <v>0</v>
          </cell>
          <cell r="AL65">
            <v>0</v>
          </cell>
        </row>
        <row r="66">
          <cell r="E66">
            <v>-32.168607875763001</v>
          </cell>
          <cell r="H66">
            <v>-1.8135241735453</v>
          </cell>
          <cell r="I66">
            <v>50.108543729741001</v>
          </cell>
          <cell r="J66">
            <v>0.34276206322795</v>
          </cell>
          <cell r="M66">
            <v>55.463117027176999</v>
          </cell>
          <cell r="N66">
            <v>3.48419301165E-3</v>
          </cell>
          <cell r="O66">
            <v>41.887708904919002</v>
          </cell>
          <cell r="P66">
            <v>-14.838816967794999</v>
          </cell>
          <cell r="Q66">
            <v>31.059345535218998</v>
          </cell>
          <cell r="R66">
            <v>18.076539101498</v>
          </cell>
          <cell r="T66">
            <v>180.17817137809001</v>
          </cell>
          <cell r="U66">
            <v>65.446478092069</v>
          </cell>
          <cell r="X66">
            <v>57.681641708264003</v>
          </cell>
          <cell r="Z66">
            <v>-18.848505139937998</v>
          </cell>
          <cell r="AA66">
            <v>-15.702084770039001</v>
          </cell>
          <cell r="AD66">
            <v>3.9356627842485001</v>
          </cell>
          <cell r="AF66">
            <v>231.45456918131001</v>
          </cell>
          <cell r="AI66">
            <v>96.256684491979001</v>
          </cell>
          <cell r="AL66">
            <v>13.022739877981</v>
          </cell>
        </row>
        <row r="67">
          <cell r="C67">
            <v>0</v>
          </cell>
          <cell r="E67">
            <v>0</v>
          </cell>
          <cell r="G67">
            <v>0</v>
          </cell>
          <cell r="H67">
            <v>0</v>
          </cell>
          <cell r="I67">
            <v>0</v>
          </cell>
          <cell r="J67">
            <v>0.79755962285079995</v>
          </cell>
          <cell r="K67">
            <v>0</v>
          </cell>
          <cell r="M67">
            <v>0</v>
          </cell>
          <cell r="N67">
            <v>3.2168607876E-4</v>
          </cell>
          <cell r="O67">
            <v>0</v>
          </cell>
          <cell r="P67">
            <v>0</v>
          </cell>
          <cell r="Q67">
            <v>0</v>
          </cell>
          <cell r="R67">
            <v>0</v>
          </cell>
          <cell r="T67">
            <v>0</v>
          </cell>
          <cell r="U67">
            <v>0</v>
          </cell>
          <cell r="X67">
            <v>0</v>
          </cell>
          <cell r="Z67">
            <v>0</v>
          </cell>
          <cell r="AA67">
            <v>-7.9571375523839999E-2</v>
          </cell>
          <cell r="AB67">
            <v>0</v>
          </cell>
          <cell r="AD67">
            <v>0</v>
          </cell>
          <cell r="AF67">
            <v>0</v>
          </cell>
          <cell r="AI67">
            <v>0</v>
          </cell>
          <cell r="AJ67">
            <v>0</v>
          </cell>
          <cell r="AL67">
            <v>0</v>
          </cell>
        </row>
        <row r="68">
          <cell r="C68">
            <v>0</v>
          </cell>
          <cell r="D68">
            <v>0</v>
          </cell>
          <cell r="G68">
            <v>0</v>
          </cell>
          <cell r="H68">
            <v>0</v>
          </cell>
          <cell r="I68">
            <v>0</v>
          </cell>
          <cell r="J68">
            <v>0</v>
          </cell>
          <cell r="K68">
            <v>0</v>
          </cell>
          <cell r="M68">
            <v>0</v>
          </cell>
          <cell r="N68">
            <v>0</v>
          </cell>
          <cell r="O68">
            <v>0</v>
          </cell>
          <cell r="P68">
            <v>0</v>
          </cell>
          <cell r="R68">
            <v>0</v>
          </cell>
          <cell r="T68">
            <v>0</v>
          </cell>
          <cell r="U68">
            <v>0</v>
          </cell>
          <cell r="X68">
            <v>0</v>
          </cell>
          <cell r="Z68">
            <v>0</v>
          </cell>
          <cell r="AA68">
            <v>0</v>
          </cell>
          <cell r="AB68">
            <v>0</v>
          </cell>
          <cell r="AD68">
            <v>-3.8369384359401</v>
          </cell>
          <cell r="AF68">
            <v>0</v>
          </cell>
          <cell r="AJ68">
            <v>0</v>
          </cell>
          <cell r="AL68">
            <v>0</v>
          </cell>
        </row>
        <row r="69">
          <cell r="C69">
            <v>0</v>
          </cell>
          <cell r="E69">
            <v>-6.6555740432611996</v>
          </cell>
          <cell r="G69">
            <v>0</v>
          </cell>
          <cell r="H69">
            <v>-0.20265929329484</v>
          </cell>
          <cell r="I69">
            <v>0</v>
          </cell>
          <cell r="J69">
            <v>-4.1042706600110002E-2</v>
          </cell>
          <cell r="K69">
            <v>0</v>
          </cell>
          <cell r="L69">
            <v>1.1092623405435</v>
          </cell>
          <cell r="M69">
            <v>4.4370493621742</v>
          </cell>
          <cell r="N69">
            <v>0.12752856350527</v>
          </cell>
          <cell r="O69">
            <v>12.420363618129</v>
          </cell>
          <cell r="P69">
            <v>0</v>
          </cell>
          <cell r="Q69">
            <v>0</v>
          </cell>
          <cell r="R69">
            <v>-1.0626733222407001</v>
          </cell>
          <cell r="T69">
            <v>0</v>
          </cell>
          <cell r="U69">
            <v>0</v>
          </cell>
          <cell r="X69">
            <v>2.2185246810871</v>
          </cell>
          <cell r="Z69">
            <v>0.12400332328906</v>
          </cell>
          <cell r="AA69">
            <v>-2.1484271391437999</v>
          </cell>
          <cell r="AB69">
            <v>0</v>
          </cell>
          <cell r="AD69">
            <v>-0.48363838047697999</v>
          </cell>
          <cell r="AF69">
            <v>0</v>
          </cell>
          <cell r="AI69">
            <v>4.5836516424751998</v>
          </cell>
          <cell r="AJ69">
            <v>0</v>
          </cell>
        </row>
        <row r="70">
          <cell r="E70">
            <v>-44.370493621742</v>
          </cell>
          <cell r="H70">
            <v>-3.4681413410320001</v>
          </cell>
          <cell r="I70">
            <v>1.7842804888929</v>
          </cell>
          <cell r="J70">
            <v>20.888519134774999</v>
          </cell>
          <cell r="L70">
            <v>31.059345535218998</v>
          </cell>
          <cell r="M70">
            <v>706.60011092622995</v>
          </cell>
          <cell r="N70">
            <v>1.2490061009429001</v>
          </cell>
          <cell r="O70">
            <v>-2.3914840576802998</v>
          </cell>
          <cell r="P70">
            <v>-3.4576416391584002</v>
          </cell>
          <cell r="Q70">
            <v>0</v>
          </cell>
          <cell r="R70">
            <v>47.107043815861999</v>
          </cell>
          <cell r="S70">
            <v>0</v>
          </cell>
          <cell r="T70">
            <v>0</v>
          </cell>
          <cell r="U70">
            <v>48.807542983916001</v>
          </cell>
          <cell r="X70">
            <v>2565.7237936771999</v>
          </cell>
          <cell r="AA70">
            <v>4.0316163598747998</v>
          </cell>
          <cell r="AB70">
            <v>0</v>
          </cell>
          <cell r="AD70">
            <v>-12.703272323905001</v>
          </cell>
          <cell r="AF70">
            <v>0</v>
          </cell>
          <cell r="AJ70">
            <v>-284</v>
          </cell>
          <cell r="AL70">
            <v>6.8774265113699</v>
          </cell>
        </row>
        <row r="71">
          <cell r="C71">
            <v>0</v>
          </cell>
          <cell r="D71">
            <v>0</v>
          </cell>
          <cell r="E71">
            <v>0</v>
          </cell>
          <cell r="G71">
            <v>0</v>
          </cell>
          <cell r="H71">
            <v>0</v>
          </cell>
          <cell r="I71">
            <v>0</v>
          </cell>
          <cell r="J71">
            <v>0</v>
          </cell>
          <cell r="K71">
            <v>0</v>
          </cell>
          <cell r="M71">
            <v>0</v>
          </cell>
          <cell r="N71">
            <v>8.0676650027699994E-3</v>
          </cell>
          <cell r="O71">
            <v>0</v>
          </cell>
          <cell r="P71">
            <v>0</v>
          </cell>
          <cell r="Q71">
            <v>0</v>
          </cell>
          <cell r="R71">
            <v>6.1475318912923003</v>
          </cell>
          <cell r="T71">
            <v>0</v>
          </cell>
          <cell r="U71">
            <v>0</v>
          </cell>
          <cell r="X71">
            <v>0</v>
          </cell>
          <cell r="Z71">
            <v>0</v>
          </cell>
          <cell r="AA71">
            <v>0</v>
          </cell>
          <cell r="AB71">
            <v>0</v>
          </cell>
          <cell r="AD71">
            <v>5.5463117027200002E-3</v>
          </cell>
          <cell r="AF71">
            <v>0</v>
          </cell>
          <cell r="AI71">
            <v>0</v>
          </cell>
          <cell r="AJ71">
            <v>0</v>
          </cell>
          <cell r="AL71">
            <v>0</v>
          </cell>
        </row>
        <row r="72">
          <cell r="C72">
            <v>0</v>
          </cell>
          <cell r="G72">
            <v>0</v>
          </cell>
          <cell r="H72">
            <v>-6.3839303866999996E-3</v>
          </cell>
          <cell r="I72">
            <v>0</v>
          </cell>
          <cell r="J72">
            <v>-0.17859123682750999</v>
          </cell>
          <cell r="K72">
            <v>0</v>
          </cell>
          <cell r="M72">
            <v>6.6555740432611996</v>
          </cell>
          <cell r="N72">
            <v>0.12604215196894</v>
          </cell>
          <cell r="O72">
            <v>1.0347500304448001</v>
          </cell>
          <cell r="P72">
            <v>0</v>
          </cell>
          <cell r="Q72">
            <v>0</v>
          </cell>
          <cell r="R72">
            <v>-0.318358291736</v>
          </cell>
          <cell r="T72">
            <v>0</v>
          </cell>
          <cell r="U72">
            <v>0</v>
          </cell>
          <cell r="X72">
            <v>0</v>
          </cell>
          <cell r="Z72">
            <v>0</v>
          </cell>
          <cell r="AA72">
            <v>0</v>
          </cell>
          <cell r="AB72">
            <v>0</v>
          </cell>
          <cell r="AD72">
            <v>9.0526899611757994</v>
          </cell>
          <cell r="AF72">
            <v>0</v>
          </cell>
          <cell r="AJ72">
            <v>0</v>
          </cell>
          <cell r="AL72">
            <v>2.2185246810869998E-2</v>
          </cell>
        </row>
        <row r="73">
          <cell r="D73">
            <v>0</v>
          </cell>
          <cell r="G73">
            <v>0</v>
          </cell>
          <cell r="H73">
            <v>0</v>
          </cell>
          <cell r="L73">
            <v>0</v>
          </cell>
          <cell r="N73">
            <v>0</v>
          </cell>
          <cell r="P73">
            <v>0</v>
          </cell>
          <cell r="T73">
            <v>0</v>
          </cell>
          <cell r="Z73">
            <v>0</v>
          </cell>
          <cell r="AD73">
            <v>0</v>
          </cell>
          <cell r="AF73">
            <v>0</v>
          </cell>
        </row>
        <row r="74">
          <cell r="C74">
            <v>0</v>
          </cell>
          <cell r="H74">
            <v>-2.2992314886349998</v>
          </cell>
          <cell r="I74">
            <v>0</v>
          </cell>
          <cell r="J74">
            <v>19.118136439268</v>
          </cell>
          <cell r="K74">
            <v>0</v>
          </cell>
          <cell r="M74">
            <v>1.1092623405435</v>
          </cell>
          <cell r="N74">
            <v>1.1092623400000001E-6</v>
          </cell>
          <cell r="O74">
            <v>1.5484824172439</v>
          </cell>
          <cell r="P74">
            <v>-0.30390294492065001</v>
          </cell>
          <cell r="Q74">
            <v>0</v>
          </cell>
          <cell r="R74">
            <v>-0.48918469217970001</v>
          </cell>
          <cell r="T74">
            <v>0</v>
          </cell>
          <cell r="U74">
            <v>12.201885745979</v>
          </cell>
          <cell r="X74">
            <v>0</v>
          </cell>
          <cell r="Z74">
            <v>0</v>
          </cell>
          <cell r="AA74">
            <v>-15.887751312928</v>
          </cell>
          <cell r="AB74">
            <v>0</v>
          </cell>
          <cell r="AD74">
            <v>-0.26178591236828003</v>
          </cell>
          <cell r="AF74">
            <v>0</v>
          </cell>
          <cell r="AI74">
            <v>0</v>
          </cell>
          <cell r="AJ74">
            <v>0</v>
          </cell>
        </row>
        <row r="75">
          <cell r="C75">
            <v>0</v>
          </cell>
          <cell r="G75">
            <v>0</v>
          </cell>
          <cell r="H75">
            <v>0</v>
          </cell>
          <cell r="I75">
            <v>0</v>
          </cell>
          <cell r="J75">
            <v>0</v>
          </cell>
          <cell r="K75">
            <v>0</v>
          </cell>
          <cell r="M75">
            <v>0</v>
          </cell>
          <cell r="N75">
            <v>0</v>
          </cell>
          <cell r="O75">
            <v>0</v>
          </cell>
          <cell r="P75">
            <v>0</v>
          </cell>
          <cell r="Q75">
            <v>0</v>
          </cell>
          <cell r="R75">
            <v>-0.57016084303937997</v>
          </cell>
          <cell r="T75">
            <v>0</v>
          </cell>
          <cell r="U75">
            <v>0</v>
          </cell>
          <cell r="X75">
            <v>200.77648363838</v>
          </cell>
          <cell r="Z75">
            <v>0</v>
          </cell>
          <cell r="AA75">
            <v>-5.3047583682559997E-2</v>
          </cell>
          <cell r="AB75">
            <v>0</v>
          </cell>
          <cell r="AD75">
            <v>3.3277870216299999E-3</v>
          </cell>
          <cell r="AF75">
            <v>0</v>
          </cell>
          <cell r="AI75">
            <v>0</v>
          </cell>
          <cell r="AJ75">
            <v>0</v>
          </cell>
          <cell r="AL75">
            <v>0</v>
          </cell>
        </row>
        <row r="76">
          <cell r="C76">
            <v>0</v>
          </cell>
          <cell r="E76">
            <v>0</v>
          </cell>
          <cell r="I76">
            <v>0</v>
          </cell>
          <cell r="J76">
            <v>8.8740987243500005E-3</v>
          </cell>
          <cell r="K76">
            <v>0</v>
          </cell>
          <cell r="M76">
            <v>1.1092623405435</v>
          </cell>
          <cell r="N76">
            <v>1.89328896284E-2</v>
          </cell>
          <cell r="O76">
            <v>0</v>
          </cell>
          <cell r="P76">
            <v>0</v>
          </cell>
          <cell r="Q76">
            <v>0</v>
          </cell>
          <cell r="R76">
            <v>-9.6017748197449002</v>
          </cell>
          <cell r="T76">
            <v>0</v>
          </cell>
          <cell r="U76">
            <v>0</v>
          </cell>
          <cell r="X76">
            <v>7.7648363838048002</v>
          </cell>
          <cell r="Z76">
            <v>0</v>
          </cell>
          <cell r="AA76">
            <v>0</v>
          </cell>
          <cell r="AB76">
            <v>0</v>
          </cell>
          <cell r="AD76">
            <v>1.2146422628952001</v>
          </cell>
          <cell r="AF76">
            <v>0</v>
          </cell>
          <cell r="AJ76">
            <v>3</v>
          </cell>
          <cell r="AL76">
            <v>0.27731558513588001</v>
          </cell>
        </row>
        <row r="77">
          <cell r="C77">
            <v>0</v>
          </cell>
          <cell r="G77">
            <v>0</v>
          </cell>
          <cell r="H77">
            <v>0</v>
          </cell>
          <cell r="I77">
            <v>0</v>
          </cell>
          <cell r="J77">
            <v>0</v>
          </cell>
          <cell r="K77">
            <v>0</v>
          </cell>
          <cell r="M77">
            <v>0</v>
          </cell>
          <cell r="N77">
            <v>0</v>
          </cell>
          <cell r="O77">
            <v>0</v>
          </cell>
          <cell r="P77">
            <v>0</v>
          </cell>
          <cell r="Q77">
            <v>0</v>
          </cell>
          <cell r="R77">
            <v>0.40044370493622</v>
          </cell>
          <cell r="T77">
            <v>0</v>
          </cell>
          <cell r="U77">
            <v>0</v>
          </cell>
          <cell r="X77">
            <v>1.1092623405435</v>
          </cell>
          <cell r="Z77">
            <v>0</v>
          </cell>
          <cell r="AA77">
            <v>0</v>
          </cell>
          <cell r="AB77">
            <v>0</v>
          </cell>
          <cell r="AD77">
            <v>-5.5463117027200002E-3</v>
          </cell>
          <cell r="AF77">
            <v>0</v>
          </cell>
          <cell r="AJ77">
            <v>0</v>
          </cell>
          <cell r="AL77">
            <v>0</v>
          </cell>
        </row>
        <row r="78">
          <cell r="C78">
            <v>0</v>
          </cell>
          <cell r="E78">
            <v>2.2185246810871</v>
          </cell>
          <cell r="G78">
            <v>0</v>
          </cell>
          <cell r="H78">
            <v>0</v>
          </cell>
          <cell r="I78">
            <v>0</v>
          </cell>
          <cell r="J78">
            <v>0</v>
          </cell>
          <cell r="K78">
            <v>0</v>
          </cell>
          <cell r="L78">
            <v>15.52967276761</v>
          </cell>
          <cell r="M78">
            <v>0</v>
          </cell>
          <cell r="N78">
            <v>0</v>
          </cell>
          <cell r="O78">
            <v>0</v>
          </cell>
          <cell r="P78">
            <v>0</v>
          </cell>
          <cell r="Q78">
            <v>0</v>
          </cell>
          <cell r="R78">
            <v>6.3227953410980003E-2</v>
          </cell>
          <cell r="T78">
            <v>0</v>
          </cell>
          <cell r="U78">
            <v>0</v>
          </cell>
          <cell r="X78">
            <v>0</v>
          </cell>
          <cell r="Z78">
            <v>0</v>
          </cell>
          <cell r="AA78">
            <v>-0.29176171025410003</v>
          </cell>
          <cell r="AD78">
            <v>0.29839156960620999</v>
          </cell>
          <cell r="AF78">
            <v>0</v>
          </cell>
          <cell r="AJ78">
            <v>0</v>
          </cell>
          <cell r="AL78">
            <v>0</v>
          </cell>
        </row>
        <row r="79">
          <cell r="C79">
            <v>0</v>
          </cell>
          <cell r="G79">
            <v>0</v>
          </cell>
          <cell r="H79">
            <v>1.3621762290080001E-2</v>
          </cell>
          <cell r="I79">
            <v>0</v>
          </cell>
          <cell r="J79">
            <v>0</v>
          </cell>
          <cell r="K79">
            <v>0</v>
          </cell>
          <cell r="M79">
            <v>1.1092623405435</v>
          </cell>
          <cell r="N79">
            <v>0</v>
          </cell>
          <cell r="P79">
            <v>0</v>
          </cell>
          <cell r="Q79">
            <v>0</v>
          </cell>
          <cell r="R79">
            <v>-7.7648363838000002E-3</v>
          </cell>
          <cell r="T79">
            <v>0</v>
          </cell>
          <cell r="U79">
            <v>0</v>
          </cell>
          <cell r="X79">
            <v>0</v>
          </cell>
          <cell r="Z79">
            <v>0</v>
          </cell>
          <cell r="AA79">
            <v>0</v>
          </cell>
          <cell r="AD79">
            <v>-0.26289517470882001</v>
          </cell>
          <cell r="AF79">
            <v>0</v>
          </cell>
          <cell r="AJ79">
            <v>0</v>
          </cell>
          <cell r="AL79">
            <v>0</v>
          </cell>
        </row>
        <row r="80">
          <cell r="C80">
            <v>0</v>
          </cell>
          <cell r="D80">
            <v>0</v>
          </cell>
          <cell r="G80">
            <v>0</v>
          </cell>
          <cell r="H80">
            <v>0</v>
          </cell>
          <cell r="I80">
            <v>0</v>
          </cell>
          <cell r="K80">
            <v>0</v>
          </cell>
          <cell r="M80">
            <v>0</v>
          </cell>
          <cell r="N80">
            <v>2.0410427066000001E-4</v>
          </cell>
          <cell r="O80">
            <v>0</v>
          </cell>
          <cell r="P80">
            <v>0</v>
          </cell>
          <cell r="Q80">
            <v>0</v>
          </cell>
          <cell r="R80">
            <v>-0.58569051580699005</v>
          </cell>
          <cell r="T80">
            <v>0</v>
          </cell>
          <cell r="U80">
            <v>0</v>
          </cell>
          <cell r="X80">
            <v>-1.1092623405435</v>
          </cell>
          <cell r="Z80">
            <v>0</v>
          </cell>
          <cell r="AA80">
            <v>0</v>
          </cell>
          <cell r="AD80">
            <v>0</v>
          </cell>
          <cell r="AF80">
            <v>0</v>
          </cell>
          <cell r="AL80">
            <v>0</v>
          </cell>
        </row>
        <row r="81">
          <cell r="C81">
            <v>0</v>
          </cell>
          <cell r="D81">
            <v>0</v>
          </cell>
          <cell r="E81">
            <v>0</v>
          </cell>
          <cell r="G81">
            <v>0</v>
          </cell>
          <cell r="H81">
            <v>0</v>
          </cell>
          <cell r="I81">
            <v>0</v>
          </cell>
          <cell r="J81">
            <v>0</v>
          </cell>
          <cell r="K81">
            <v>0</v>
          </cell>
          <cell r="M81">
            <v>0</v>
          </cell>
          <cell r="N81">
            <v>6.6555740400000001E-6</v>
          </cell>
          <cell r="O81">
            <v>0</v>
          </cell>
          <cell r="P81">
            <v>0</v>
          </cell>
          <cell r="Q81">
            <v>0</v>
          </cell>
          <cell r="R81">
            <v>0</v>
          </cell>
          <cell r="T81">
            <v>0</v>
          </cell>
          <cell r="U81">
            <v>0</v>
          </cell>
          <cell r="X81">
            <v>0</v>
          </cell>
          <cell r="AA81">
            <v>0</v>
          </cell>
          <cell r="AB81">
            <v>0</v>
          </cell>
          <cell r="AD81">
            <v>0</v>
          </cell>
          <cell r="AF81">
            <v>0</v>
          </cell>
          <cell r="AI81">
            <v>0</v>
          </cell>
          <cell r="AJ81">
            <v>0</v>
          </cell>
          <cell r="AL81">
            <v>0</v>
          </cell>
        </row>
        <row r="82">
          <cell r="C82">
            <v>0</v>
          </cell>
          <cell r="D82">
            <v>0</v>
          </cell>
          <cell r="E82">
            <v>0</v>
          </cell>
          <cell r="G82">
            <v>0</v>
          </cell>
          <cell r="I82">
            <v>0</v>
          </cell>
          <cell r="K82">
            <v>0</v>
          </cell>
          <cell r="L82">
            <v>0</v>
          </cell>
          <cell r="M82">
            <v>0</v>
          </cell>
          <cell r="N82">
            <v>2.9950083195000001E-4</v>
          </cell>
          <cell r="O82">
            <v>0</v>
          </cell>
          <cell r="P82">
            <v>0</v>
          </cell>
          <cell r="Q82">
            <v>0</v>
          </cell>
          <cell r="R82">
            <v>0</v>
          </cell>
          <cell r="T82">
            <v>0</v>
          </cell>
          <cell r="U82">
            <v>0</v>
          </cell>
          <cell r="X82">
            <v>0</v>
          </cell>
          <cell r="Z82">
            <v>0</v>
          </cell>
          <cell r="AA82">
            <v>0</v>
          </cell>
          <cell r="AB82">
            <v>0</v>
          </cell>
          <cell r="AD82">
            <v>0</v>
          </cell>
          <cell r="AF82">
            <v>0</v>
          </cell>
          <cell r="AJ82">
            <v>0</v>
          </cell>
          <cell r="AL82">
            <v>0</v>
          </cell>
        </row>
        <row r="83">
          <cell r="C83">
            <v>0</v>
          </cell>
          <cell r="E83">
            <v>0</v>
          </cell>
          <cell r="G83">
            <v>0</v>
          </cell>
          <cell r="H83">
            <v>0</v>
          </cell>
          <cell r="I83">
            <v>0</v>
          </cell>
          <cell r="J83">
            <v>0</v>
          </cell>
          <cell r="K83">
            <v>0</v>
          </cell>
          <cell r="L83">
            <v>0</v>
          </cell>
          <cell r="M83">
            <v>0</v>
          </cell>
          <cell r="N83">
            <v>0</v>
          </cell>
          <cell r="O83">
            <v>0</v>
          </cell>
          <cell r="P83">
            <v>0</v>
          </cell>
          <cell r="Q83">
            <v>0</v>
          </cell>
          <cell r="R83">
            <v>0</v>
          </cell>
          <cell r="T83">
            <v>0</v>
          </cell>
          <cell r="U83">
            <v>0</v>
          </cell>
          <cell r="X83">
            <v>0</v>
          </cell>
          <cell r="Z83">
            <v>0</v>
          </cell>
          <cell r="AA83">
            <v>0</v>
          </cell>
          <cell r="AB83">
            <v>0</v>
          </cell>
          <cell r="AD83">
            <v>0</v>
          </cell>
          <cell r="AF83">
            <v>0</v>
          </cell>
          <cell r="AI83">
            <v>0</v>
          </cell>
          <cell r="AJ83">
            <v>0</v>
          </cell>
          <cell r="AL83">
            <v>0</v>
          </cell>
        </row>
        <row r="84">
          <cell r="C84">
            <v>0</v>
          </cell>
          <cell r="D84">
            <v>0</v>
          </cell>
          <cell r="G84">
            <v>0</v>
          </cell>
          <cell r="H84">
            <v>0</v>
          </cell>
          <cell r="I84">
            <v>0</v>
          </cell>
          <cell r="J84">
            <v>0</v>
          </cell>
          <cell r="K84">
            <v>0</v>
          </cell>
          <cell r="M84">
            <v>0</v>
          </cell>
          <cell r="N84">
            <v>0</v>
          </cell>
          <cell r="O84">
            <v>0</v>
          </cell>
          <cell r="P84">
            <v>0</v>
          </cell>
          <cell r="Q84">
            <v>0</v>
          </cell>
          <cell r="R84">
            <v>0</v>
          </cell>
          <cell r="T84">
            <v>0</v>
          </cell>
          <cell r="U84">
            <v>0</v>
          </cell>
          <cell r="X84">
            <v>0</v>
          </cell>
          <cell r="AA84">
            <v>0</v>
          </cell>
          <cell r="AB84">
            <v>0</v>
          </cell>
          <cell r="AD84">
            <v>0</v>
          </cell>
          <cell r="AF84">
            <v>0</v>
          </cell>
          <cell r="AI84">
            <v>0</v>
          </cell>
          <cell r="AJ84">
            <v>0</v>
          </cell>
          <cell r="AL84">
            <v>0</v>
          </cell>
        </row>
        <row r="85">
          <cell r="C85">
            <v>0</v>
          </cell>
          <cell r="D85">
            <v>0</v>
          </cell>
          <cell r="G85">
            <v>0</v>
          </cell>
          <cell r="H85">
            <v>0</v>
          </cell>
          <cell r="I85">
            <v>0</v>
          </cell>
          <cell r="J85">
            <v>0</v>
          </cell>
          <cell r="K85">
            <v>0</v>
          </cell>
          <cell r="M85">
            <v>0</v>
          </cell>
          <cell r="N85">
            <v>1.3899057127E-3</v>
          </cell>
          <cell r="O85">
            <v>0</v>
          </cell>
          <cell r="P85">
            <v>0</v>
          </cell>
          <cell r="Q85">
            <v>0</v>
          </cell>
          <cell r="R85">
            <v>0</v>
          </cell>
          <cell r="T85">
            <v>0</v>
          </cell>
          <cell r="U85">
            <v>0</v>
          </cell>
          <cell r="X85">
            <v>0</v>
          </cell>
          <cell r="Z85">
            <v>0</v>
          </cell>
          <cell r="AA85">
            <v>0</v>
          </cell>
          <cell r="AB85">
            <v>0</v>
          </cell>
          <cell r="AD85">
            <v>0</v>
          </cell>
          <cell r="AF85">
            <v>0</v>
          </cell>
          <cell r="AI85">
            <v>0</v>
          </cell>
          <cell r="AJ85">
            <v>0</v>
          </cell>
          <cell r="AL85">
            <v>0</v>
          </cell>
        </row>
        <row r="86">
          <cell r="C86">
            <v>0</v>
          </cell>
          <cell r="D86">
            <v>0</v>
          </cell>
          <cell r="G86">
            <v>0</v>
          </cell>
          <cell r="H86">
            <v>0</v>
          </cell>
          <cell r="I86">
            <v>0</v>
          </cell>
          <cell r="J86">
            <v>0</v>
          </cell>
          <cell r="K86">
            <v>0</v>
          </cell>
          <cell r="M86">
            <v>0</v>
          </cell>
          <cell r="N86">
            <v>0</v>
          </cell>
          <cell r="O86">
            <v>0</v>
          </cell>
          <cell r="P86">
            <v>0</v>
          </cell>
          <cell r="Q86">
            <v>0</v>
          </cell>
          <cell r="R86">
            <v>1.885745978924E-2</v>
          </cell>
          <cell r="T86">
            <v>0</v>
          </cell>
          <cell r="U86">
            <v>0</v>
          </cell>
          <cell r="X86">
            <v>-1.1092623405435</v>
          </cell>
          <cell r="Z86">
            <v>0</v>
          </cell>
          <cell r="AA86">
            <v>0</v>
          </cell>
          <cell r="AB86">
            <v>0</v>
          </cell>
          <cell r="AD86">
            <v>0</v>
          </cell>
          <cell r="AF86">
            <v>0</v>
          </cell>
          <cell r="AI86">
            <v>0</v>
          </cell>
          <cell r="AJ86">
            <v>0</v>
          </cell>
          <cell r="AL86">
            <v>0</v>
          </cell>
        </row>
        <row r="87">
          <cell r="C87">
            <v>0</v>
          </cell>
          <cell r="D87">
            <v>0</v>
          </cell>
          <cell r="E87">
            <v>0</v>
          </cell>
          <cell r="G87">
            <v>0</v>
          </cell>
          <cell r="H87">
            <v>0</v>
          </cell>
          <cell r="I87">
            <v>0</v>
          </cell>
          <cell r="J87">
            <v>0</v>
          </cell>
          <cell r="K87">
            <v>0</v>
          </cell>
          <cell r="M87">
            <v>0</v>
          </cell>
          <cell r="N87">
            <v>1.0537992235E-4</v>
          </cell>
          <cell r="O87">
            <v>0</v>
          </cell>
          <cell r="P87">
            <v>0</v>
          </cell>
          <cell r="Q87">
            <v>0</v>
          </cell>
          <cell r="R87">
            <v>0</v>
          </cell>
          <cell r="T87">
            <v>0</v>
          </cell>
          <cell r="U87">
            <v>0</v>
          </cell>
          <cell r="X87">
            <v>0</v>
          </cell>
          <cell r="Z87">
            <v>0</v>
          </cell>
          <cell r="AA87">
            <v>0</v>
          </cell>
          <cell r="AB87">
            <v>0</v>
          </cell>
          <cell r="AD87">
            <v>0</v>
          </cell>
          <cell r="AF87">
            <v>0</v>
          </cell>
          <cell r="AI87">
            <v>0</v>
          </cell>
          <cell r="AJ87">
            <v>0</v>
          </cell>
          <cell r="AL87">
            <v>0</v>
          </cell>
        </row>
        <row r="88">
          <cell r="C88">
            <v>0</v>
          </cell>
          <cell r="D88">
            <v>0</v>
          </cell>
          <cell r="E88">
            <v>0</v>
          </cell>
          <cell r="G88">
            <v>0</v>
          </cell>
          <cell r="H88">
            <v>0</v>
          </cell>
          <cell r="I88">
            <v>0</v>
          </cell>
          <cell r="J88">
            <v>0</v>
          </cell>
          <cell r="K88">
            <v>0</v>
          </cell>
          <cell r="M88">
            <v>0</v>
          </cell>
          <cell r="N88">
            <v>0</v>
          </cell>
          <cell r="O88">
            <v>0</v>
          </cell>
          <cell r="P88">
            <v>0</v>
          </cell>
          <cell r="Q88">
            <v>0</v>
          </cell>
          <cell r="R88">
            <v>0</v>
          </cell>
          <cell r="T88">
            <v>0</v>
          </cell>
          <cell r="U88">
            <v>0</v>
          </cell>
          <cell r="X88">
            <v>0</v>
          </cell>
          <cell r="Z88">
            <v>0</v>
          </cell>
          <cell r="AA88">
            <v>0</v>
          </cell>
          <cell r="AB88">
            <v>0</v>
          </cell>
          <cell r="AD88">
            <v>0</v>
          </cell>
          <cell r="AF88">
            <v>0</v>
          </cell>
          <cell r="AI88">
            <v>0</v>
          </cell>
          <cell r="AJ88">
            <v>0</v>
          </cell>
          <cell r="AL88">
            <v>0</v>
          </cell>
        </row>
        <row r="89">
          <cell r="C89">
            <v>0</v>
          </cell>
          <cell r="D89">
            <v>0</v>
          </cell>
          <cell r="E89">
            <v>0</v>
          </cell>
          <cell r="G89">
            <v>0</v>
          </cell>
          <cell r="H89">
            <v>0</v>
          </cell>
          <cell r="I89">
            <v>0</v>
          </cell>
          <cell r="J89">
            <v>0</v>
          </cell>
          <cell r="K89">
            <v>0</v>
          </cell>
          <cell r="M89">
            <v>0</v>
          </cell>
          <cell r="N89">
            <v>2.884082085E-5</v>
          </cell>
          <cell r="O89">
            <v>0</v>
          </cell>
          <cell r="P89">
            <v>0</v>
          </cell>
          <cell r="Q89">
            <v>0</v>
          </cell>
          <cell r="R89">
            <v>-4.7698280643369999E-2</v>
          </cell>
          <cell r="T89">
            <v>0</v>
          </cell>
          <cell r="U89">
            <v>0</v>
          </cell>
          <cell r="X89">
            <v>0</v>
          </cell>
          <cell r="Z89">
            <v>0</v>
          </cell>
          <cell r="AA89">
            <v>0</v>
          </cell>
          <cell r="AB89">
            <v>0</v>
          </cell>
          <cell r="AD89">
            <v>0</v>
          </cell>
          <cell r="AF89">
            <v>0</v>
          </cell>
          <cell r="AI89">
            <v>0</v>
          </cell>
          <cell r="AJ89">
            <v>0</v>
          </cell>
          <cell r="AL89">
            <v>0</v>
          </cell>
        </row>
        <row r="90">
          <cell r="C90">
            <v>0</v>
          </cell>
          <cell r="D90">
            <v>0</v>
          </cell>
          <cell r="E90">
            <v>0</v>
          </cell>
          <cell r="G90">
            <v>0</v>
          </cell>
          <cell r="H90">
            <v>0</v>
          </cell>
          <cell r="I90">
            <v>0</v>
          </cell>
          <cell r="J90">
            <v>0</v>
          </cell>
          <cell r="K90">
            <v>0</v>
          </cell>
          <cell r="M90">
            <v>0</v>
          </cell>
          <cell r="N90">
            <v>0</v>
          </cell>
          <cell r="O90">
            <v>0</v>
          </cell>
          <cell r="P90">
            <v>0</v>
          </cell>
          <cell r="Q90">
            <v>0</v>
          </cell>
          <cell r="R90">
            <v>0</v>
          </cell>
          <cell r="T90">
            <v>0</v>
          </cell>
          <cell r="U90">
            <v>0</v>
          </cell>
          <cell r="X90">
            <v>0</v>
          </cell>
          <cell r="Z90">
            <v>0</v>
          </cell>
          <cell r="AA90">
            <v>0</v>
          </cell>
          <cell r="AB90">
            <v>0</v>
          </cell>
          <cell r="AD90">
            <v>0</v>
          </cell>
          <cell r="AF90">
            <v>0</v>
          </cell>
          <cell r="AJ90">
            <v>0</v>
          </cell>
          <cell r="AL90">
            <v>0</v>
          </cell>
        </row>
        <row r="91">
          <cell r="C91">
            <v>0</v>
          </cell>
          <cell r="D91">
            <v>0</v>
          </cell>
          <cell r="G91">
            <v>0</v>
          </cell>
          <cell r="H91">
            <v>0</v>
          </cell>
          <cell r="I91">
            <v>0</v>
          </cell>
          <cell r="J91">
            <v>0</v>
          </cell>
          <cell r="K91">
            <v>0</v>
          </cell>
          <cell r="M91">
            <v>0</v>
          </cell>
          <cell r="N91">
            <v>1.41763727121E-3</v>
          </cell>
          <cell r="O91">
            <v>0</v>
          </cell>
          <cell r="P91">
            <v>0</v>
          </cell>
          <cell r="Q91">
            <v>0</v>
          </cell>
          <cell r="R91">
            <v>-3.3277870216309999E-2</v>
          </cell>
          <cell r="T91">
            <v>0</v>
          </cell>
          <cell r="U91">
            <v>0</v>
          </cell>
          <cell r="X91">
            <v>0</v>
          </cell>
          <cell r="Z91">
            <v>0</v>
          </cell>
          <cell r="AA91">
            <v>0</v>
          </cell>
          <cell r="AB91">
            <v>0</v>
          </cell>
          <cell r="AD91">
            <v>0</v>
          </cell>
          <cell r="AF91">
            <v>0</v>
          </cell>
          <cell r="AI91">
            <v>0</v>
          </cell>
          <cell r="AJ91">
            <v>0</v>
          </cell>
          <cell r="AL91">
            <v>0</v>
          </cell>
        </row>
        <row r="92">
          <cell r="C92">
            <v>0</v>
          </cell>
          <cell r="D92">
            <v>0</v>
          </cell>
          <cell r="G92">
            <v>0</v>
          </cell>
          <cell r="H92">
            <v>0</v>
          </cell>
          <cell r="I92">
            <v>0</v>
          </cell>
          <cell r="J92">
            <v>0</v>
          </cell>
          <cell r="K92">
            <v>0</v>
          </cell>
          <cell r="M92">
            <v>1.1092623405435</v>
          </cell>
          <cell r="N92">
            <v>2.5235718247399999E-3</v>
          </cell>
          <cell r="O92">
            <v>0</v>
          </cell>
          <cell r="P92">
            <v>0</v>
          </cell>
          <cell r="Q92">
            <v>0</v>
          </cell>
          <cell r="R92">
            <v>0</v>
          </cell>
          <cell r="T92">
            <v>0</v>
          </cell>
          <cell r="U92">
            <v>0</v>
          </cell>
          <cell r="X92">
            <v>0</v>
          </cell>
          <cell r="AA92">
            <v>0</v>
          </cell>
          <cell r="AB92">
            <v>0</v>
          </cell>
          <cell r="AD92">
            <v>0</v>
          </cell>
          <cell r="AF92">
            <v>0</v>
          </cell>
          <cell r="AI92">
            <v>0</v>
          </cell>
          <cell r="AJ92">
            <v>0</v>
          </cell>
          <cell r="AL92">
            <v>0</v>
          </cell>
        </row>
        <row r="93">
          <cell r="C93">
            <v>0</v>
          </cell>
          <cell r="G93">
            <v>0</v>
          </cell>
          <cell r="H93">
            <v>0</v>
          </cell>
          <cell r="I93">
            <v>0</v>
          </cell>
          <cell r="J93">
            <v>0</v>
          </cell>
          <cell r="K93">
            <v>0</v>
          </cell>
          <cell r="M93">
            <v>0</v>
          </cell>
          <cell r="N93">
            <v>0</v>
          </cell>
          <cell r="O93">
            <v>0</v>
          </cell>
          <cell r="P93">
            <v>0</v>
          </cell>
          <cell r="Q93">
            <v>0</v>
          </cell>
          <cell r="R93">
            <v>0</v>
          </cell>
          <cell r="T93">
            <v>0</v>
          </cell>
          <cell r="U93">
            <v>0</v>
          </cell>
          <cell r="X93">
            <v>0</v>
          </cell>
          <cell r="Z93">
            <v>0</v>
          </cell>
          <cell r="AA93">
            <v>0</v>
          </cell>
          <cell r="AB93">
            <v>0</v>
          </cell>
          <cell r="AD93">
            <v>0</v>
          </cell>
          <cell r="AF93">
            <v>0</v>
          </cell>
          <cell r="AI93">
            <v>0</v>
          </cell>
          <cell r="AJ93">
            <v>0</v>
          </cell>
          <cell r="AL93">
            <v>0</v>
          </cell>
        </row>
        <row r="94">
          <cell r="C94">
            <v>0</v>
          </cell>
          <cell r="D94">
            <v>0</v>
          </cell>
          <cell r="E94">
            <v>0</v>
          </cell>
          <cell r="G94">
            <v>0</v>
          </cell>
          <cell r="H94">
            <v>0</v>
          </cell>
          <cell r="I94">
            <v>0</v>
          </cell>
          <cell r="J94">
            <v>0</v>
          </cell>
          <cell r="K94">
            <v>0</v>
          </cell>
          <cell r="M94">
            <v>0</v>
          </cell>
          <cell r="N94">
            <v>1.4975041596999999E-4</v>
          </cell>
          <cell r="O94">
            <v>0</v>
          </cell>
          <cell r="P94">
            <v>0</v>
          </cell>
          <cell r="Q94">
            <v>0</v>
          </cell>
          <cell r="R94">
            <v>0</v>
          </cell>
          <cell r="T94">
            <v>0</v>
          </cell>
          <cell r="U94">
            <v>0</v>
          </cell>
          <cell r="X94">
            <v>0</v>
          </cell>
          <cell r="Z94">
            <v>0</v>
          </cell>
          <cell r="AA94">
            <v>0</v>
          </cell>
          <cell r="AB94">
            <v>0</v>
          </cell>
          <cell r="AD94">
            <v>0</v>
          </cell>
          <cell r="AF94">
            <v>0</v>
          </cell>
          <cell r="AI94">
            <v>0</v>
          </cell>
          <cell r="AJ94">
            <v>0</v>
          </cell>
          <cell r="AL94">
            <v>0</v>
          </cell>
        </row>
        <row r="95">
          <cell r="C95">
            <v>0</v>
          </cell>
          <cell r="D95">
            <v>0</v>
          </cell>
          <cell r="E95">
            <v>0</v>
          </cell>
          <cell r="G95">
            <v>0</v>
          </cell>
          <cell r="H95">
            <v>0</v>
          </cell>
          <cell r="I95">
            <v>0</v>
          </cell>
          <cell r="J95">
            <v>0</v>
          </cell>
          <cell r="K95">
            <v>0</v>
          </cell>
          <cell r="M95">
            <v>0</v>
          </cell>
          <cell r="N95">
            <v>0</v>
          </cell>
          <cell r="O95">
            <v>0</v>
          </cell>
          <cell r="P95">
            <v>0</v>
          </cell>
          <cell r="Q95">
            <v>0</v>
          </cell>
          <cell r="R95">
            <v>-5.2135330005549999E-2</v>
          </cell>
          <cell r="T95">
            <v>0</v>
          </cell>
          <cell r="U95">
            <v>0</v>
          </cell>
          <cell r="X95">
            <v>0</v>
          </cell>
          <cell r="Z95">
            <v>0</v>
          </cell>
          <cell r="AA95">
            <v>0</v>
          </cell>
          <cell r="AB95">
            <v>0</v>
          </cell>
          <cell r="AD95">
            <v>0</v>
          </cell>
          <cell r="AF95">
            <v>0</v>
          </cell>
          <cell r="AI95">
            <v>0</v>
          </cell>
          <cell r="AJ95">
            <v>0</v>
          </cell>
          <cell r="AL95">
            <v>0</v>
          </cell>
        </row>
        <row r="96">
          <cell r="C96">
            <v>0</v>
          </cell>
          <cell r="D96">
            <v>0</v>
          </cell>
          <cell r="E96">
            <v>0</v>
          </cell>
          <cell r="G96">
            <v>0</v>
          </cell>
          <cell r="H96">
            <v>0</v>
          </cell>
          <cell r="I96">
            <v>0</v>
          </cell>
          <cell r="K96">
            <v>0</v>
          </cell>
          <cell r="L96">
            <v>0</v>
          </cell>
          <cell r="M96">
            <v>0</v>
          </cell>
          <cell r="N96">
            <v>0</v>
          </cell>
          <cell r="O96">
            <v>0</v>
          </cell>
          <cell r="P96">
            <v>0</v>
          </cell>
          <cell r="Q96">
            <v>0</v>
          </cell>
          <cell r="R96">
            <v>0</v>
          </cell>
          <cell r="T96">
            <v>0</v>
          </cell>
          <cell r="U96">
            <v>0</v>
          </cell>
          <cell r="X96">
            <v>0</v>
          </cell>
          <cell r="Z96">
            <v>0</v>
          </cell>
          <cell r="AA96">
            <v>0</v>
          </cell>
          <cell r="AB96">
            <v>0</v>
          </cell>
          <cell r="AD96">
            <v>0</v>
          </cell>
          <cell r="AF96">
            <v>0</v>
          </cell>
          <cell r="AI96">
            <v>0</v>
          </cell>
          <cell r="AJ96">
            <v>0</v>
          </cell>
          <cell r="AL96">
            <v>0</v>
          </cell>
        </row>
        <row r="97">
          <cell r="C97">
            <v>0</v>
          </cell>
          <cell r="D97">
            <v>0</v>
          </cell>
          <cell r="E97">
            <v>0</v>
          </cell>
          <cell r="G97">
            <v>0</v>
          </cell>
          <cell r="H97">
            <v>0</v>
          </cell>
          <cell r="I97">
            <v>0</v>
          </cell>
          <cell r="J97">
            <v>0</v>
          </cell>
          <cell r="K97">
            <v>0</v>
          </cell>
          <cell r="M97">
            <v>0</v>
          </cell>
          <cell r="N97">
            <v>5.5618413754899999E-3</v>
          </cell>
          <cell r="O97">
            <v>0</v>
          </cell>
          <cell r="P97">
            <v>0</v>
          </cell>
          <cell r="Q97">
            <v>0</v>
          </cell>
          <cell r="R97">
            <v>-5.2135330005549999E-2</v>
          </cell>
          <cell r="T97">
            <v>0</v>
          </cell>
          <cell r="U97">
            <v>0</v>
          </cell>
          <cell r="X97">
            <v>0</v>
          </cell>
          <cell r="Z97">
            <v>0</v>
          </cell>
          <cell r="AA97">
            <v>0</v>
          </cell>
          <cell r="AB97">
            <v>0</v>
          </cell>
          <cell r="AD97">
            <v>0</v>
          </cell>
          <cell r="AF97">
            <v>0</v>
          </cell>
          <cell r="AI97">
            <v>0</v>
          </cell>
          <cell r="AJ97">
            <v>0</v>
          </cell>
          <cell r="AL97">
            <v>0</v>
          </cell>
        </row>
        <row r="98">
          <cell r="C98">
            <v>0</v>
          </cell>
          <cell r="D98">
            <v>0</v>
          </cell>
          <cell r="G98">
            <v>0</v>
          </cell>
          <cell r="H98">
            <v>0</v>
          </cell>
          <cell r="I98">
            <v>0</v>
          </cell>
          <cell r="J98">
            <v>0</v>
          </cell>
          <cell r="K98">
            <v>0</v>
          </cell>
          <cell r="M98">
            <v>0</v>
          </cell>
          <cell r="N98">
            <v>0</v>
          </cell>
          <cell r="O98">
            <v>0</v>
          </cell>
          <cell r="P98">
            <v>0</v>
          </cell>
          <cell r="Q98">
            <v>0</v>
          </cell>
          <cell r="R98">
            <v>-0.13089295618414001</v>
          </cell>
          <cell r="T98">
            <v>0</v>
          </cell>
          <cell r="U98">
            <v>0</v>
          </cell>
          <cell r="X98">
            <v>0</v>
          </cell>
          <cell r="Z98">
            <v>0</v>
          </cell>
          <cell r="AA98">
            <v>0</v>
          </cell>
          <cell r="AB98">
            <v>0</v>
          </cell>
          <cell r="AD98">
            <v>0</v>
          </cell>
          <cell r="AF98">
            <v>0</v>
          </cell>
          <cell r="AJ98">
            <v>0</v>
          </cell>
          <cell r="AL98">
            <v>0</v>
          </cell>
        </row>
        <row r="99">
          <cell r="C99">
            <v>0</v>
          </cell>
          <cell r="E99">
            <v>0</v>
          </cell>
          <cell r="G99">
            <v>0</v>
          </cell>
          <cell r="H99">
            <v>0</v>
          </cell>
          <cell r="I99">
            <v>0</v>
          </cell>
          <cell r="J99">
            <v>0</v>
          </cell>
          <cell r="K99">
            <v>0</v>
          </cell>
          <cell r="M99">
            <v>0</v>
          </cell>
          <cell r="N99">
            <v>2.6611203549600001E-3</v>
          </cell>
          <cell r="O99">
            <v>0</v>
          </cell>
          <cell r="P99">
            <v>0</v>
          </cell>
          <cell r="Q99">
            <v>0</v>
          </cell>
          <cell r="R99">
            <v>0</v>
          </cell>
          <cell r="T99">
            <v>0</v>
          </cell>
          <cell r="U99">
            <v>0</v>
          </cell>
          <cell r="X99">
            <v>0</v>
          </cell>
          <cell r="Z99">
            <v>0</v>
          </cell>
          <cell r="AA99">
            <v>0</v>
          </cell>
          <cell r="AB99">
            <v>0</v>
          </cell>
          <cell r="AD99">
            <v>0.23183582917359999</v>
          </cell>
          <cell r="AF99">
            <v>0</v>
          </cell>
          <cell r="AI99">
            <v>0</v>
          </cell>
          <cell r="AJ99">
            <v>0</v>
          </cell>
          <cell r="AL99">
            <v>0</v>
          </cell>
        </row>
        <row r="100">
          <cell r="C100">
            <v>0</v>
          </cell>
          <cell r="G100">
            <v>0</v>
          </cell>
          <cell r="H100">
            <v>0</v>
          </cell>
          <cell r="I100">
            <v>0</v>
          </cell>
          <cell r="K100">
            <v>0</v>
          </cell>
          <cell r="M100">
            <v>0</v>
          </cell>
          <cell r="N100">
            <v>0</v>
          </cell>
          <cell r="O100">
            <v>0</v>
          </cell>
          <cell r="P100">
            <v>0</v>
          </cell>
          <cell r="Q100">
            <v>0</v>
          </cell>
          <cell r="R100">
            <v>3.9933444259570003E-2</v>
          </cell>
          <cell r="T100">
            <v>0</v>
          </cell>
          <cell r="U100">
            <v>0</v>
          </cell>
          <cell r="X100">
            <v>0</v>
          </cell>
          <cell r="AA100">
            <v>0</v>
          </cell>
          <cell r="AB100">
            <v>0</v>
          </cell>
          <cell r="AD100">
            <v>0</v>
          </cell>
          <cell r="AJ100">
            <v>-2</v>
          </cell>
          <cell r="AL100">
            <v>0</v>
          </cell>
        </row>
        <row r="101">
          <cell r="C101">
            <v>0</v>
          </cell>
          <cell r="E101">
            <v>0</v>
          </cell>
          <cell r="G101">
            <v>0</v>
          </cell>
          <cell r="H101">
            <v>0</v>
          </cell>
          <cell r="I101">
            <v>0</v>
          </cell>
          <cell r="J101">
            <v>0</v>
          </cell>
          <cell r="K101">
            <v>0</v>
          </cell>
          <cell r="M101">
            <v>0</v>
          </cell>
          <cell r="N101">
            <v>3.3277870220000003E-5</v>
          </cell>
          <cell r="O101">
            <v>0</v>
          </cell>
          <cell r="P101">
            <v>0</v>
          </cell>
          <cell r="Q101">
            <v>0</v>
          </cell>
          <cell r="R101">
            <v>-2.2185246810899999E-3</v>
          </cell>
          <cell r="T101">
            <v>0</v>
          </cell>
          <cell r="U101">
            <v>0</v>
          </cell>
          <cell r="X101">
            <v>0</v>
          </cell>
          <cell r="Z101">
            <v>0</v>
          </cell>
          <cell r="AA101">
            <v>0</v>
          </cell>
          <cell r="AB101">
            <v>0</v>
          </cell>
          <cell r="AD101">
            <v>0</v>
          </cell>
          <cell r="AF101">
            <v>0</v>
          </cell>
          <cell r="AI101">
            <v>0</v>
          </cell>
          <cell r="AL101">
            <v>0</v>
          </cell>
        </row>
        <row r="102">
          <cell r="C102">
            <v>0</v>
          </cell>
          <cell r="D102">
            <v>0</v>
          </cell>
          <cell r="E102">
            <v>0</v>
          </cell>
          <cell r="G102">
            <v>0</v>
          </cell>
          <cell r="H102">
            <v>0</v>
          </cell>
          <cell r="I102">
            <v>0</v>
          </cell>
          <cell r="J102">
            <v>0</v>
          </cell>
          <cell r="K102">
            <v>0</v>
          </cell>
          <cell r="L102">
            <v>0</v>
          </cell>
          <cell r="M102">
            <v>0</v>
          </cell>
          <cell r="N102">
            <v>1.09262340544E-3</v>
          </cell>
          <cell r="O102">
            <v>0</v>
          </cell>
          <cell r="P102">
            <v>0</v>
          </cell>
          <cell r="Q102">
            <v>0</v>
          </cell>
          <cell r="R102">
            <v>0</v>
          </cell>
          <cell r="T102">
            <v>0</v>
          </cell>
          <cell r="U102">
            <v>0</v>
          </cell>
          <cell r="X102">
            <v>0</v>
          </cell>
          <cell r="Z102">
            <v>0</v>
          </cell>
          <cell r="AA102">
            <v>0</v>
          </cell>
          <cell r="AD102">
            <v>0</v>
          </cell>
          <cell r="AF102">
            <v>0</v>
          </cell>
          <cell r="AI102">
            <v>0</v>
          </cell>
          <cell r="AJ102">
            <v>0</v>
          </cell>
          <cell r="AL102">
            <v>0</v>
          </cell>
        </row>
        <row r="103">
          <cell r="C103">
            <v>0</v>
          </cell>
          <cell r="G103">
            <v>0</v>
          </cell>
          <cell r="H103">
            <v>0</v>
          </cell>
          <cell r="I103">
            <v>0</v>
          </cell>
          <cell r="K103">
            <v>0</v>
          </cell>
          <cell r="M103">
            <v>1.1092623405435</v>
          </cell>
          <cell r="N103">
            <v>2.7398779811000002E-4</v>
          </cell>
          <cell r="O103">
            <v>0</v>
          </cell>
          <cell r="P103">
            <v>0</v>
          </cell>
          <cell r="Q103">
            <v>0</v>
          </cell>
          <cell r="R103">
            <v>-1.10926234054E-3</v>
          </cell>
          <cell r="T103">
            <v>0</v>
          </cell>
          <cell r="U103">
            <v>0</v>
          </cell>
          <cell r="X103">
            <v>0</v>
          </cell>
          <cell r="Z103">
            <v>0</v>
          </cell>
          <cell r="AA103">
            <v>0</v>
          </cell>
          <cell r="AB103">
            <v>0</v>
          </cell>
          <cell r="AD103">
            <v>0</v>
          </cell>
          <cell r="AJ103">
            <v>0</v>
          </cell>
          <cell r="AL103">
            <v>0</v>
          </cell>
        </row>
        <row r="104">
          <cell r="C104">
            <v>0</v>
          </cell>
          <cell r="D104">
            <v>0</v>
          </cell>
          <cell r="E104">
            <v>0</v>
          </cell>
          <cell r="G104">
            <v>0</v>
          </cell>
          <cell r="H104">
            <v>0</v>
          </cell>
          <cell r="I104">
            <v>0</v>
          </cell>
          <cell r="J104">
            <v>0</v>
          </cell>
          <cell r="K104">
            <v>0</v>
          </cell>
          <cell r="M104">
            <v>0</v>
          </cell>
          <cell r="N104">
            <v>0</v>
          </cell>
          <cell r="O104">
            <v>0</v>
          </cell>
          <cell r="P104">
            <v>0</v>
          </cell>
          <cell r="Q104">
            <v>0</v>
          </cell>
          <cell r="R104">
            <v>0</v>
          </cell>
          <cell r="T104">
            <v>0</v>
          </cell>
          <cell r="U104">
            <v>0</v>
          </cell>
          <cell r="X104">
            <v>0</v>
          </cell>
          <cell r="Z104">
            <v>0</v>
          </cell>
          <cell r="AA104">
            <v>0</v>
          </cell>
          <cell r="AB104">
            <v>0</v>
          </cell>
          <cell r="AD104">
            <v>0</v>
          </cell>
          <cell r="AF104">
            <v>0</v>
          </cell>
          <cell r="AI104">
            <v>0</v>
          </cell>
          <cell r="AJ104">
            <v>0</v>
          </cell>
          <cell r="AL104">
            <v>0</v>
          </cell>
        </row>
        <row r="105">
          <cell r="E105">
            <v>0</v>
          </cell>
          <cell r="H105">
            <v>0</v>
          </cell>
          <cell r="I105">
            <v>0</v>
          </cell>
          <cell r="K105">
            <v>0</v>
          </cell>
          <cell r="M105">
            <v>0</v>
          </cell>
          <cell r="N105">
            <v>-12.768753189129001</v>
          </cell>
          <cell r="O105">
            <v>0</v>
          </cell>
          <cell r="P105">
            <v>0</v>
          </cell>
          <cell r="Q105">
            <v>0</v>
          </cell>
          <cell r="R105">
            <v>0</v>
          </cell>
          <cell r="T105">
            <v>0</v>
          </cell>
          <cell r="U105">
            <v>0</v>
          </cell>
          <cell r="X105">
            <v>0</v>
          </cell>
          <cell r="Z105">
            <v>2.9760797589374999</v>
          </cell>
          <cell r="AA105">
            <v>0</v>
          </cell>
          <cell r="AB105">
            <v>0</v>
          </cell>
          <cell r="AD105">
            <v>0</v>
          </cell>
          <cell r="AF105">
            <v>0</v>
          </cell>
          <cell r="AJ105">
            <v>10</v>
          </cell>
          <cell r="AL105">
            <v>0</v>
          </cell>
        </row>
        <row r="106">
          <cell r="C106">
            <v>0</v>
          </cell>
          <cell r="D106">
            <v>0</v>
          </cell>
          <cell r="E106">
            <v>0</v>
          </cell>
          <cell r="G106">
            <v>0</v>
          </cell>
          <cell r="H106">
            <v>0</v>
          </cell>
          <cell r="I106">
            <v>0</v>
          </cell>
          <cell r="J106">
            <v>0</v>
          </cell>
          <cell r="K106">
            <v>0</v>
          </cell>
          <cell r="M106">
            <v>0</v>
          </cell>
          <cell r="N106">
            <v>9.1835829173599996E-3</v>
          </cell>
          <cell r="O106">
            <v>0</v>
          </cell>
          <cell r="P106">
            <v>0</v>
          </cell>
          <cell r="Q106">
            <v>0</v>
          </cell>
          <cell r="R106">
            <v>0</v>
          </cell>
          <cell r="T106">
            <v>0</v>
          </cell>
          <cell r="U106">
            <v>0</v>
          </cell>
          <cell r="X106">
            <v>0</v>
          </cell>
          <cell r="Z106">
            <v>0</v>
          </cell>
          <cell r="AA106">
            <v>0</v>
          </cell>
          <cell r="AB106">
            <v>0</v>
          </cell>
          <cell r="AD106">
            <v>0</v>
          </cell>
          <cell r="AF106">
            <v>0</v>
          </cell>
          <cell r="AI106">
            <v>0</v>
          </cell>
          <cell r="AJ106">
            <v>0</v>
          </cell>
          <cell r="AL106">
            <v>0</v>
          </cell>
        </row>
        <row r="107">
          <cell r="C107">
            <v>0</v>
          </cell>
          <cell r="D107">
            <v>0</v>
          </cell>
          <cell r="E107">
            <v>0</v>
          </cell>
          <cell r="G107">
            <v>0</v>
          </cell>
          <cell r="H107">
            <v>0</v>
          </cell>
          <cell r="I107">
            <v>0</v>
          </cell>
          <cell r="J107">
            <v>0</v>
          </cell>
          <cell r="K107">
            <v>0</v>
          </cell>
          <cell r="M107">
            <v>0</v>
          </cell>
          <cell r="N107">
            <v>1.1092623400000001E-6</v>
          </cell>
          <cell r="O107">
            <v>0</v>
          </cell>
          <cell r="P107">
            <v>0</v>
          </cell>
          <cell r="Q107">
            <v>0</v>
          </cell>
          <cell r="R107">
            <v>0</v>
          </cell>
          <cell r="T107">
            <v>0</v>
          </cell>
          <cell r="U107">
            <v>0</v>
          </cell>
          <cell r="X107">
            <v>0</v>
          </cell>
          <cell r="Z107">
            <v>0</v>
          </cell>
          <cell r="AA107">
            <v>0</v>
          </cell>
          <cell r="AB107">
            <v>0</v>
          </cell>
          <cell r="AD107">
            <v>0</v>
          </cell>
          <cell r="AF107">
            <v>0</v>
          </cell>
          <cell r="AI107">
            <v>0</v>
          </cell>
          <cell r="AJ107">
            <v>0</v>
          </cell>
          <cell r="AL107">
            <v>0</v>
          </cell>
        </row>
        <row r="108">
          <cell r="C108">
            <v>0</v>
          </cell>
          <cell r="D108">
            <v>0</v>
          </cell>
          <cell r="G108">
            <v>0</v>
          </cell>
          <cell r="H108">
            <v>0</v>
          </cell>
          <cell r="I108">
            <v>0</v>
          </cell>
          <cell r="J108">
            <v>0</v>
          </cell>
          <cell r="K108">
            <v>0</v>
          </cell>
          <cell r="M108">
            <v>0</v>
          </cell>
          <cell r="N108">
            <v>0</v>
          </cell>
          <cell r="O108">
            <v>0</v>
          </cell>
          <cell r="P108">
            <v>0</v>
          </cell>
          <cell r="Q108">
            <v>0</v>
          </cell>
          <cell r="R108">
            <v>0</v>
          </cell>
          <cell r="T108">
            <v>0</v>
          </cell>
          <cell r="U108">
            <v>0</v>
          </cell>
          <cell r="X108">
            <v>0</v>
          </cell>
          <cell r="Z108">
            <v>0</v>
          </cell>
          <cell r="AA108">
            <v>-2.6523791841279998E-2</v>
          </cell>
          <cell r="AB108">
            <v>0</v>
          </cell>
          <cell r="AD108">
            <v>0</v>
          </cell>
          <cell r="AF108">
            <v>0</v>
          </cell>
          <cell r="AI108">
            <v>0</v>
          </cell>
          <cell r="AJ108">
            <v>0</v>
          </cell>
          <cell r="AL108">
            <v>0</v>
          </cell>
        </row>
        <row r="109">
          <cell r="C109">
            <v>0</v>
          </cell>
          <cell r="D109">
            <v>0</v>
          </cell>
          <cell r="G109">
            <v>0</v>
          </cell>
          <cell r="H109">
            <v>0</v>
          </cell>
          <cell r="I109">
            <v>0</v>
          </cell>
          <cell r="J109">
            <v>0</v>
          </cell>
          <cell r="K109">
            <v>0</v>
          </cell>
          <cell r="M109">
            <v>0</v>
          </cell>
          <cell r="N109">
            <v>0</v>
          </cell>
          <cell r="O109">
            <v>0</v>
          </cell>
          <cell r="P109">
            <v>0</v>
          </cell>
          <cell r="R109">
            <v>-6.6555740432599998E-3</v>
          </cell>
          <cell r="T109">
            <v>0</v>
          </cell>
          <cell r="U109">
            <v>0</v>
          </cell>
          <cell r="X109">
            <v>0</v>
          </cell>
          <cell r="Z109">
            <v>0</v>
          </cell>
          <cell r="AA109">
            <v>0</v>
          </cell>
          <cell r="AB109">
            <v>0</v>
          </cell>
          <cell r="AD109">
            <v>0</v>
          </cell>
          <cell r="AF109">
            <v>0</v>
          </cell>
          <cell r="AI109">
            <v>0</v>
          </cell>
          <cell r="AJ109">
            <v>0</v>
          </cell>
          <cell r="AL109">
            <v>0</v>
          </cell>
        </row>
        <row r="110">
          <cell r="G110">
            <v>0</v>
          </cell>
          <cell r="I110">
            <v>0</v>
          </cell>
          <cell r="K110">
            <v>0</v>
          </cell>
          <cell r="M110">
            <v>0</v>
          </cell>
          <cell r="N110">
            <v>4.3150305047E-4</v>
          </cell>
          <cell r="O110">
            <v>229.76689685308</v>
          </cell>
          <cell r="P110">
            <v>0</v>
          </cell>
          <cell r="R110">
            <v>2.1608430393788001</v>
          </cell>
          <cell r="T110">
            <v>0</v>
          </cell>
          <cell r="U110">
            <v>0</v>
          </cell>
          <cell r="X110">
            <v>12.201885745979</v>
          </cell>
          <cell r="Z110">
            <v>0</v>
          </cell>
          <cell r="AA110">
            <v>0.26523791841282002</v>
          </cell>
          <cell r="AD110">
            <v>0</v>
          </cell>
          <cell r="AF110">
            <v>0</v>
          </cell>
          <cell r="AI110">
            <v>25.974025974025999</v>
          </cell>
          <cell r="AL110">
            <v>-4.4370493621739997E-2</v>
          </cell>
        </row>
        <row r="111">
          <cell r="C111">
            <v>0</v>
          </cell>
          <cell r="D111">
            <v>0</v>
          </cell>
          <cell r="G111">
            <v>0</v>
          </cell>
          <cell r="H111">
            <v>0</v>
          </cell>
          <cell r="I111">
            <v>0</v>
          </cell>
          <cell r="J111">
            <v>0</v>
          </cell>
          <cell r="K111">
            <v>0</v>
          </cell>
          <cell r="M111">
            <v>0</v>
          </cell>
          <cell r="N111">
            <v>2.1408763172E-4</v>
          </cell>
          <cell r="O111">
            <v>0</v>
          </cell>
          <cell r="P111">
            <v>0</v>
          </cell>
          <cell r="Q111">
            <v>0</v>
          </cell>
          <cell r="R111">
            <v>-5.4353854686630003E-2</v>
          </cell>
          <cell r="T111">
            <v>0</v>
          </cell>
          <cell r="U111">
            <v>0</v>
          </cell>
          <cell r="X111">
            <v>0</v>
          </cell>
          <cell r="Z111">
            <v>0</v>
          </cell>
          <cell r="AA111">
            <v>0</v>
          </cell>
          <cell r="AD111">
            <v>0</v>
          </cell>
          <cell r="AF111">
            <v>0</v>
          </cell>
          <cell r="AI111">
            <v>0</v>
          </cell>
          <cell r="AJ111">
            <v>0</v>
          </cell>
          <cell r="AL111">
            <v>0</v>
          </cell>
        </row>
        <row r="112">
          <cell r="C112">
            <v>0</v>
          </cell>
          <cell r="D112">
            <v>0</v>
          </cell>
          <cell r="E112">
            <v>0</v>
          </cell>
          <cell r="G112">
            <v>0</v>
          </cell>
          <cell r="H112">
            <v>0</v>
          </cell>
          <cell r="I112">
            <v>0</v>
          </cell>
          <cell r="J112">
            <v>0</v>
          </cell>
          <cell r="K112">
            <v>0</v>
          </cell>
          <cell r="M112">
            <v>0</v>
          </cell>
          <cell r="N112">
            <v>7.0115363283419996E-2</v>
          </cell>
          <cell r="O112">
            <v>0</v>
          </cell>
          <cell r="P112">
            <v>0</v>
          </cell>
          <cell r="Q112">
            <v>0</v>
          </cell>
          <cell r="R112">
            <v>0</v>
          </cell>
          <cell r="T112">
            <v>0</v>
          </cell>
          <cell r="U112">
            <v>0</v>
          </cell>
          <cell r="X112">
            <v>0</v>
          </cell>
          <cell r="AA112">
            <v>0</v>
          </cell>
          <cell r="AB112">
            <v>0</v>
          </cell>
          <cell r="AD112">
            <v>0</v>
          </cell>
          <cell r="AF112">
            <v>0</v>
          </cell>
          <cell r="AJ112">
            <v>0</v>
          </cell>
          <cell r="AL112">
            <v>0</v>
          </cell>
        </row>
        <row r="113">
          <cell r="C113">
            <v>0</v>
          </cell>
          <cell r="D113">
            <v>0</v>
          </cell>
          <cell r="E113">
            <v>0</v>
          </cell>
          <cell r="G113">
            <v>0</v>
          </cell>
          <cell r="H113">
            <v>0</v>
          </cell>
          <cell r="I113">
            <v>0</v>
          </cell>
          <cell r="J113">
            <v>0</v>
          </cell>
          <cell r="K113">
            <v>0</v>
          </cell>
          <cell r="M113">
            <v>0</v>
          </cell>
          <cell r="N113">
            <v>0</v>
          </cell>
          <cell r="P113">
            <v>0</v>
          </cell>
          <cell r="Q113">
            <v>0</v>
          </cell>
          <cell r="R113">
            <v>0</v>
          </cell>
          <cell r="T113">
            <v>0</v>
          </cell>
          <cell r="U113">
            <v>0</v>
          </cell>
          <cell r="X113">
            <v>0</v>
          </cell>
          <cell r="Z113">
            <v>0</v>
          </cell>
          <cell r="AA113">
            <v>0</v>
          </cell>
          <cell r="AB113">
            <v>0</v>
          </cell>
          <cell r="AD113">
            <v>0</v>
          </cell>
          <cell r="AF113">
            <v>8.8975359757037999</v>
          </cell>
          <cell r="AI113">
            <v>0</v>
          </cell>
          <cell r="AJ113">
            <v>0</v>
          </cell>
          <cell r="AL113">
            <v>0</v>
          </cell>
        </row>
        <row r="114">
          <cell r="C114">
            <v>0</v>
          </cell>
          <cell r="G114">
            <v>0</v>
          </cell>
          <cell r="H114">
            <v>0</v>
          </cell>
          <cell r="I114">
            <v>0</v>
          </cell>
          <cell r="K114">
            <v>0</v>
          </cell>
          <cell r="M114">
            <v>19.966722129783999</v>
          </cell>
          <cell r="N114">
            <v>1.1092623405E-4</v>
          </cell>
          <cell r="O114">
            <v>0</v>
          </cell>
          <cell r="P114">
            <v>0</v>
          </cell>
          <cell r="Q114">
            <v>0</v>
          </cell>
          <cell r="R114">
            <v>-0.94287298946201004</v>
          </cell>
          <cell r="T114">
            <v>0</v>
          </cell>
          <cell r="U114">
            <v>0</v>
          </cell>
          <cell r="X114">
            <v>8.8740987243483005</v>
          </cell>
          <cell r="Z114">
            <v>0</v>
          </cell>
          <cell r="AA114">
            <v>0</v>
          </cell>
          <cell r="AD114">
            <v>0</v>
          </cell>
          <cell r="AF114">
            <v>0</v>
          </cell>
          <cell r="AL114">
            <v>0</v>
          </cell>
        </row>
        <row r="115">
          <cell r="C115">
            <v>0</v>
          </cell>
          <cell r="D115">
            <v>0</v>
          </cell>
          <cell r="G115">
            <v>0</v>
          </cell>
          <cell r="H115">
            <v>0</v>
          </cell>
          <cell r="I115">
            <v>0</v>
          </cell>
          <cell r="J115">
            <v>0</v>
          </cell>
          <cell r="K115">
            <v>0</v>
          </cell>
          <cell r="M115">
            <v>0</v>
          </cell>
          <cell r="N115">
            <v>6.9306711037199998E-3</v>
          </cell>
          <cell r="O115">
            <v>0</v>
          </cell>
          <cell r="P115">
            <v>0</v>
          </cell>
          <cell r="Q115">
            <v>0</v>
          </cell>
          <cell r="R115">
            <v>0</v>
          </cell>
          <cell r="T115">
            <v>0</v>
          </cell>
          <cell r="U115">
            <v>0</v>
          </cell>
          <cell r="X115">
            <v>0</v>
          </cell>
          <cell r="Z115">
            <v>0</v>
          </cell>
          <cell r="AA115">
            <v>0</v>
          </cell>
          <cell r="AB115">
            <v>0</v>
          </cell>
          <cell r="AD115">
            <v>0</v>
          </cell>
          <cell r="AF115">
            <v>0</v>
          </cell>
          <cell r="AI115">
            <v>0</v>
          </cell>
          <cell r="AJ115">
            <v>0</v>
          </cell>
          <cell r="AL115">
            <v>0</v>
          </cell>
        </row>
        <row r="116">
          <cell r="C116">
            <v>0</v>
          </cell>
          <cell r="D116">
            <v>0</v>
          </cell>
          <cell r="E116">
            <v>0</v>
          </cell>
          <cell r="G116">
            <v>0</v>
          </cell>
          <cell r="H116">
            <v>0</v>
          </cell>
          <cell r="I116">
            <v>0</v>
          </cell>
          <cell r="J116">
            <v>0</v>
          </cell>
          <cell r="K116">
            <v>0</v>
          </cell>
          <cell r="L116">
            <v>0</v>
          </cell>
          <cell r="M116">
            <v>0</v>
          </cell>
          <cell r="N116">
            <v>0</v>
          </cell>
          <cell r="O116">
            <v>0</v>
          </cell>
          <cell r="P116">
            <v>0</v>
          </cell>
          <cell r="Q116">
            <v>0</v>
          </cell>
          <cell r="R116">
            <v>0</v>
          </cell>
          <cell r="T116">
            <v>0</v>
          </cell>
          <cell r="U116">
            <v>0</v>
          </cell>
          <cell r="X116">
            <v>0</v>
          </cell>
          <cell r="Z116">
            <v>0</v>
          </cell>
          <cell r="AA116">
            <v>0</v>
          </cell>
          <cell r="AB116">
            <v>0</v>
          </cell>
          <cell r="AD116">
            <v>0</v>
          </cell>
          <cell r="AF116">
            <v>0</v>
          </cell>
          <cell r="AI116">
            <v>0</v>
          </cell>
          <cell r="AJ116">
            <v>0</v>
          </cell>
          <cell r="AL116">
            <v>0</v>
          </cell>
        </row>
        <row r="117">
          <cell r="C117">
            <v>0</v>
          </cell>
          <cell r="D117">
            <v>0</v>
          </cell>
          <cell r="E117">
            <v>0</v>
          </cell>
          <cell r="G117">
            <v>0</v>
          </cell>
          <cell r="H117">
            <v>0</v>
          </cell>
          <cell r="I117">
            <v>0</v>
          </cell>
          <cell r="J117">
            <v>0</v>
          </cell>
          <cell r="K117">
            <v>0</v>
          </cell>
          <cell r="L117">
            <v>0</v>
          </cell>
          <cell r="M117">
            <v>0</v>
          </cell>
          <cell r="N117">
            <v>7.3211314479999998E-5</v>
          </cell>
          <cell r="O117">
            <v>0</v>
          </cell>
          <cell r="P117">
            <v>0</v>
          </cell>
          <cell r="Q117">
            <v>0</v>
          </cell>
          <cell r="R117">
            <v>0</v>
          </cell>
          <cell r="T117">
            <v>0</v>
          </cell>
          <cell r="U117">
            <v>0</v>
          </cell>
          <cell r="X117">
            <v>0</v>
          </cell>
          <cell r="Z117">
            <v>0</v>
          </cell>
          <cell r="AA117">
            <v>0</v>
          </cell>
          <cell r="AD117">
            <v>0</v>
          </cell>
          <cell r="AF117">
            <v>0</v>
          </cell>
          <cell r="AI117">
            <v>0</v>
          </cell>
          <cell r="AJ117">
            <v>0</v>
          </cell>
          <cell r="AL117">
            <v>0</v>
          </cell>
        </row>
        <row r="118">
          <cell r="C118">
            <v>0</v>
          </cell>
          <cell r="G118">
            <v>0</v>
          </cell>
          <cell r="H118">
            <v>0</v>
          </cell>
          <cell r="I118">
            <v>0</v>
          </cell>
          <cell r="J118">
            <v>0</v>
          </cell>
          <cell r="K118">
            <v>0</v>
          </cell>
          <cell r="M118">
            <v>0</v>
          </cell>
          <cell r="N118">
            <v>3.9312257348900004E-3</v>
          </cell>
          <cell r="O118">
            <v>0</v>
          </cell>
          <cell r="P118">
            <v>0</v>
          </cell>
          <cell r="Q118">
            <v>0</v>
          </cell>
          <cell r="R118">
            <v>0</v>
          </cell>
          <cell r="T118">
            <v>0</v>
          </cell>
          <cell r="U118">
            <v>0</v>
          </cell>
          <cell r="X118">
            <v>0</v>
          </cell>
          <cell r="Z118">
            <v>0</v>
          </cell>
          <cell r="AA118">
            <v>0</v>
          </cell>
          <cell r="AB118">
            <v>0</v>
          </cell>
          <cell r="AD118">
            <v>-5.5463117027200002E-3</v>
          </cell>
          <cell r="AF118">
            <v>0</v>
          </cell>
          <cell r="AI118">
            <v>0</v>
          </cell>
          <cell r="AJ118">
            <v>0</v>
          </cell>
          <cell r="AL118">
            <v>0</v>
          </cell>
        </row>
        <row r="119">
          <cell r="C119">
            <v>0</v>
          </cell>
          <cell r="E119">
            <v>0</v>
          </cell>
          <cell r="G119">
            <v>0</v>
          </cell>
          <cell r="H119">
            <v>-3.8413776277802998</v>
          </cell>
          <cell r="I119">
            <v>0</v>
          </cell>
          <cell r="J119">
            <v>0.39267886855241002</v>
          </cell>
          <cell r="K119">
            <v>0</v>
          </cell>
          <cell r="M119">
            <v>6.6555740432611996</v>
          </cell>
          <cell r="N119">
            <v>1.8202995008299999E-3</v>
          </cell>
          <cell r="O119">
            <v>0.13627800024355999</v>
          </cell>
          <cell r="P119">
            <v>0</v>
          </cell>
          <cell r="Q119">
            <v>0</v>
          </cell>
          <cell r="R119">
            <v>0</v>
          </cell>
          <cell r="T119">
            <v>0</v>
          </cell>
          <cell r="U119">
            <v>0</v>
          </cell>
          <cell r="X119">
            <v>0</v>
          </cell>
          <cell r="Z119">
            <v>0</v>
          </cell>
          <cell r="AA119">
            <v>0</v>
          </cell>
          <cell r="AD119">
            <v>0</v>
          </cell>
          <cell r="AF119">
            <v>0</v>
          </cell>
          <cell r="AJ119">
            <v>0</v>
          </cell>
          <cell r="AL119">
            <v>-0.16638935108153</v>
          </cell>
        </row>
        <row r="120">
          <cell r="C120">
            <v>0</v>
          </cell>
          <cell r="D120">
            <v>0</v>
          </cell>
          <cell r="G120">
            <v>0</v>
          </cell>
          <cell r="H120">
            <v>0</v>
          </cell>
          <cell r="I120">
            <v>0</v>
          </cell>
          <cell r="J120">
            <v>0</v>
          </cell>
          <cell r="K120">
            <v>0</v>
          </cell>
          <cell r="M120">
            <v>0</v>
          </cell>
          <cell r="N120">
            <v>7.4542429284999996E-4</v>
          </cell>
          <cell r="P120">
            <v>0</v>
          </cell>
          <cell r="Q120">
            <v>0</v>
          </cell>
          <cell r="R120">
            <v>0</v>
          </cell>
          <cell r="T120">
            <v>0</v>
          </cell>
          <cell r="U120">
            <v>0</v>
          </cell>
          <cell r="X120">
            <v>0</v>
          </cell>
          <cell r="AA120">
            <v>0</v>
          </cell>
          <cell r="AB120">
            <v>0</v>
          </cell>
          <cell r="AD120">
            <v>0</v>
          </cell>
          <cell r="AF120">
            <v>0</v>
          </cell>
          <cell r="AJ120">
            <v>0</v>
          </cell>
          <cell r="AL120">
            <v>0</v>
          </cell>
        </row>
        <row r="121">
          <cell r="C121">
            <v>0</v>
          </cell>
          <cell r="D121">
            <v>0</v>
          </cell>
          <cell r="E121">
            <v>0</v>
          </cell>
          <cell r="G121">
            <v>0</v>
          </cell>
          <cell r="H121">
            <v>0</v>
          </cell>
          <cell r="I121">
            <v>0</v>
          </cell>
          <cell r="J121">
            <v>0</v>
          </cell>
          <cell r="K121">
            <v>0</v>
          </cell>
          <cell r="M121">
            <v>0</v>
          </cell>
          <cell r="N121">
            <v>0</v>
          </cell>
          <cell r="O121">
            <v>0</v>
          </cell>
          <cell r="P121">
            <v>0</v>
          </cell>
          <cell r="Q121">
            <v>0</v>
          </cell>
          <cell r="R121">
            <v>0</v>
          </cell>
          <cell r="T121">
            <v>0</v>
          </cell>
          <cell r="U121">
            <v>0</v>
          </cell>
          <cell r="X121">
            <v>0</v>
          </cell>
          <cell r="Z121">
            <v>0</v>
          </cell>
          <cell r="AA121">
            <v>0</v>
          </cell>
          <cell r="AB121">
            <v>0</v>
          </cell>
          <cell r="AD121">
            <v>0</v>
          </cell>
          <cell r="AF121">
            <v>0</v>
          </cell>
          <cell r="AI121">
            <v>0</v>
          </cell>
          <cell r="AJ121">
            <v>0</v>
          </cell>
          <cell r="AL121">
            <v>0</v>
          </cell>
        </row>
        <row r="122">
          <cell r="E122">
            <v>-22.185246810871</v>
          </cell>
          <cell r="H122">
            <v>0</v>
          </cell>
          <cell r="I122">
            <v>0</v>
          </cell>
          <cell r="M122">
            <v>56.572379367720004</v>
          </cell>
          <cell r="N122">
            <v>1.695174708819E-2</v>
          </cell>
          <cell r="P122">
            <v>0</v>
          </cell>
          <cell r="R122">
            <v>-5.0016638935108002</v>
          </cell>
          <cell r="S122">
            <v>0</v>
          </cell>
          <cell r="T122">
            <v>0</v>
          </cell>
          <cell r="U122">
            <v>0</v>
          </cell>
          <cell r="X122">
            <v>-87.631724902939993</v>
          </cell>
          <cell r="AA122">
            <v>0</v>
          </cell>
          <cell r="AD122">
            <v>0</v>
          </cell>
          <cell r="AL122">
            <v>0.13311148086522001</v>
          </cell>
        </row>
        <row r="123">
          <cell r="C123">
            <v>0</v>
          </cell>
          <cell r="D123">
            <v>0</v>
          </cell>
          <cell r="E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X123">
            <v>0</v>
          </cell>
          <cell r="Z123">
            <v>0</v>
          </cell>
          <cell r="AA123">
            <v>0</v>
          </cell>
          <cell r="AB123">
            <v>0</v>
          </cell>
          <cell r="AD123">
            <v>0</v>
          </cell>
          <cell r="AF123">
            <v>0</v>
          </cell>
          <cell r="AJ123">
            <v>0</v>
          </cell>
          <cell r="AL123">
            <v>0</v>
          </cell>
        </row>
        <row r="124">
          <cell r="C124">
            <v>0</v>
          </cell>
          <cell r="D124">
            <v>0</v>
          </cell>
          <cell r="E124">
            <v>0</v>
          </cell>
          <cell r="H124">
            <v>0</v>
          </cell>
          <cell r="I124">
            <v>0</v>
          </cell>
          <cell r="J124">
            <v>0</v>
          </cell>
          <cell r="K124">
            <v>0</v>
          </cell>
          <cell r="M124">
            <v>0</v>
          </cell>
          <cell r="N124">
            <v>5.5463117027000001E-4</v>
          </cell>
          <cell r="O124">
            <v>0</v>
          </cell>
          <cell r="P124">
            <v>0</v>
          </cell>
          <cell r="Q124">
            <v>0</v>
          </cell>
          <cell r="R124">
            <v>-1.9966722129779998E-2</v>
          </cell>
          <cell r="T124">
            <v>0</v>
          </cell>
          <cell r="U124">
            <v>0</v>
          </cell>
          <cell r="X124">
            <v>0</v>
          </cell>
          <cell r="Z124">
            <v>0</v>
          </cell>
          <cell r="AA124">
            <v>0</v>
          </cell>
          <cell r="AB124">
            <v>0</v>
          </cell>
          <cell r="AD124">
            <v>0</v>
          </cell>
          <cell r="AF124">
            <v>0</v>
          </cell>
          <cell r="AI124">
            <v>0</v>
          </cell>
          <cell r="AJ124">
            <v>0</v>
          </cell>
          <cell r="AL124">
            <v>0</v>
          </cell>
        </row>
        <row r="125">
          <cell r="C125">
            <v>0</v>
          </cell>
          <cell r="E125">
            <v>0</v>
          </cell>
          <cell r="G125">
            <v>0</v>
          </cell>
          <cell r="H125">
            <v>0</v>
          </cell>
          <cell r="I125">
            <v>0</v>
          </cell>
          <cell r="J125">
            <v>0</v>
          </cell>
          <cell r="K125">
            <v>0</v>
          </cell>
          <cell r="M125">
            <v>0</v>
          </cell>
          <cell r="N125">
            <v>1.5043815862450001E-2</v>
          </cell>
          <cell r="O125">
            <v>0</v>
          </cell>
          <cell r="P125">
            <v>0</v>
          </cell>
          <cell r="Q125">
            <v>0</v>
          </cell>
          <cell r="R125">
            <v>0</v>
          </cell>
          <cell r="T125">
            <v>0</v>
          </cell>
          <cell r="U125">
            <v>0</v>
          </cell>
          <cell r="X125">
            <v>0</v>
          </cell>
          <cell r="Z125">
            <v>0</v>
          </cell>
          <cell r="AA125">
            <v>-12.598801124609</v>
          </cell>
          <cell r="AB125">
            <v>0</v>
          </cell>
          <cell r="AD125">
            <v>0</v>
          </cell>
          <cell r="AF125">
            <v>0</v>
          </cell>
          <cell r="AJ125">
            <v>0</v>
          </cell>
          <cell r="AL125">
            <v>0</v>
          </cell>
        </row>
        <row r="126">
          <cell r="C126">
            <v>0</v>
          </cell>
          <cell r="D126">
            <v>0</v>
          </cell>
          <cell r="G126">
            <v>0</v>
          </cell>
          <cell r="H126">
            <v>0</v>
          </cell>
          <cell r="I126">
            <v>0</v>
          </cell>
          <cell r="J126">
            <v>0</v>
          </cell>
          <cell r="K126">
            <v>0</v>
          </cell>
          <cell r="M126">
            <v>0</v>
          </cell>
          <cell r="N126">
            <v>1.3643926789E-4</v>
          </cell>
          <cell r="O126">
            <v>0</v>
          </cell>
          <cell r="P126">
            <v>0</v>
          </cell>
          <cell r="Q126">
            <v>0</v>
          </cell>
          <cell r="R126">
            <v>-9.317803660566E-2</v>
          </cell>
          <cell r="T126">
            <v>0</v>
          </cell>
          <cell r="U126">
            <v>0</v>
          </cell>
          <cell r="X126">
            <v>0</v>
          </cell>
          <cell r="AA126">
            <v>0</v>
          </cell>
          <cell r="AB126">
            <v>0</v>
          </cell>
          <cell r="AD126">
            <v>0</v>
          </cell>
          <cell r="AF126">
            <v>0</v>
          </cell>
          <cell r="AJ126">
            <v>0</v>
          </cell>
          <cell r="AL126">
            <v>0</v>
          </cell>
        </row>
        <row r="127">
          <cell r="C127">
            <v>0</v>
          </cell>
          <cell r="E127">
            <v>0</v>
          </cell>
          <cell r="G127">
            <v>0</v>
          </cell>
          <cell r="H127">
            <v>0</v>
          </cell>
          <cell r="I127">
            <v>0</v>
          </cell>
          <cell r="J127">
            <v>0</v>
          </cell>
          <cell r="K127">
            <v>0</v>
          </cell>
          <cell r="M127">
            <v>0</v>
          </cell>
          <cell r="N127">
            <v>3.4963948973899999E-3</v>
          </cell>
          <cell r="O127">
            <v>0</v>
          </cell>
          <cell r="P127">
            <v>0</v>
          </cell>
          <cell r="Q127">
            <v>0</v>
          </cell>
          <cell r="R127">
            <v>0</v>
          </cell>
          <cell r="T127">
            <v>0</v>
          </cell>
          <cell r="U127">
            <v>0</v>
          </cell>
          <cell r="X127">
            <v>0</v>
          </cell>
          <cell r="AA127">
            <v>0</v>
          </cell>
          <cell r="AB127">
            <v>0</v>
          </cell>
          <cell r="AD127">
            <v>0</v>
          </cell>
          <cell r="AF127">
            <v>0</v>
          </cell>
          <cell r="AI127">
            <v>0</v>
          </cell>
          <cell r="AJ127">
            <v>0</v>
          </cell>
          <cell r="AL127">
            <v>0</v>
          </cell>
        </row>
        <row r="128">
          <cell r="C128">
            <v>0</v>
          </cell>
          <cell r="D128">
            <v>0</v>
          </cell>
          <cell r="E128">
            <v>0</v>
          </cell>
          <cell r="G128">
            <v>0</v>
          </cell>
          <cell r="H128">
            <v>0</v>
          </cell>
          <cell r="I128">
            <v>0</v>
          </cell>
          <cell r="J128">
            <v>0</v>
          </cell>
          <cell r="K128">
            <v>0</v>
          </cell>
          <cell r="M128">
            <v>0</v>
          </cell>
          <cell r="N128">
            <v>8.6034387132599994E-3</v>
          </cell>
          <cell r="O128">
            <v>0</v>
          </cell>
          <cell r="P128">
            <v>0</v>
          </cell>
          <cell r="Q128">
            <v>0</v>
          </cell>
          <cell r="R128">
            <v>-1.7748197448700001E-2</v>
          </cell>
          <cell r="T128">
            <v>0</v>
          </cell>
          <cell r="U128">
            <v>0</v>
          </cell>
          <cell r="X128">
            <v>0</v>
          </cell>
          <cell r="Z128">
            <v>0</v>
          </cell>
          <cell r="AA128">
            <v>0</v>
          </cell>
          <cell r="AB128">
            <v>0</v>
          </cell>
          <cell r="AD128">
            <v>0</v>
          </cell>
          <cell r="AF128">
            <v>0</v>
          </cell>
          <cell r="AJ128">
            <v>0</v>
          </cell>
          <cell r="AL128">
            <v>0</v>
          </cell>
        </row>
        <row r="129">
          <cell r="C129">
            <v>0</v>
          </cell>
          <cell r="D129">
            <v>0</v>
          </cell>
          <cell r="E129">
            <v>0</v>
          </cell>
          <cell r="G129">
            <v>0</v>
          </cell>
          <cell r="H129">
            <v>0</v>
          </cell>
          <cell r="I129">
            <v>0</v>
          </cell>
          <cell r="J129">
            <v>0</v>
          </cell>
          <cell r="K129">
            <v>0</v>
          </cell>
          <cell r="M129">
            <v>0</v>
          </cell>
          <cell r="N129">
            <v>1.14032168608E-3</v>
          </cell>
          <cell r="O129">
            <v>0</v>
          </cell>
          <cell r="P129">
            <v>0</v>
          </cell>
          <cell r="Q129">
            <v>0</v>
          </cell>
          <cell r="R129">
            <v>0</v>
          </cell>
          <cell r="T129">
            <v>0</v>
          </cell>
          <cell r="U129">
            <v>0</v>
          </cell>
          <cell r="X129">
            <v>0</v>
          </cell>
          <cell r="Z129">
            <v>0</v>
          </cell>
          <cell r="AA129">
            <v>0</v>
          </cell>
          <cell r="AB129">
            <v>0</v>
          </cell>
          <cell r="AD129">
            <v>0</v>
          </cell>
          <cell r="AI129">
            <v>0</v>
          </cell>
          <cell r="AJ129">
            <v>0</v>
          </cell>
          <cell r="AL129">
            <v>0</v>
          </cell>
        </row>
        <row r="130">
          <cell r="C130">
            <v>0</v>
          </cell>
          <cell r="D130">
            <v>0</v>
          </cell>
          <cell r="E130">
            <v>0</v>
          </cell>
          <cell r="G130">
            <v>0</v>
          </cell>
          <cell r="H130">
            <v>0</v>
          </cell>
          <cell r="I130">
            <v>0</v>
          </cell>
          <cell r="J130">
            <v>0</v>
          </cell>
          <cell r="K130">
            <v>0</v>
          </cell>
          <cell r="M130">
            <v>0</v>
          </cell>
          <cell r="N130">
            <v>1.11702717693E-3</v>
          </cell>
          <cell r="O130">
            <v>0</v>
          </cell>
          <cell r="P130">
            <v>0</v>
          </cell>
          <cell r="Q130">
            <v>0</v>
          </cell>
          <cell r="R130">
            <v>-1.10926234054E-3</v>
          </cell>
          <cell r="T130">
            <v>0</v>
          </cell>
          <cell r="U130">
            <v>0</v>
          </cell>
          <cell r="X130">
            <v>0</v>
          </cell>
          <cell r="Z130">
            <v>0</v>
          </cell>
          <cell r="AA130">
            <v>0</v>
          </cell>
          <cell r="AB130">
            <v>0</v>
          </cell>
          <cell r="AD130">
            <v>0</v>
          </cell>
          <cell r="AI130">
            <v>0</v>
          </cell>
          <cell r="AJ130">
            <v>0</v>
          </cell>
          <cell r="AL130">
            <v>0</v>
          </cell>
        </row>
        <row r="131">
          <cell r="C131">
            <v>0</v>
          </cell>
          <cell r="D131">
            <v>0</v>
          </cell>
          <cell r="E131">
            <v>0</v>
          </cell>
          <cell r="G131">
            <v>0</v>
          </cell>
          <cell r="H131">
            <v>0</v>
          </cell>
          <cell r="I131">
            <v>13.976863829660999</v>
          </cell>
          <cell r="J131">
            <v>0</v>
          </cell>
          <cell r="K131">
            <v>0</v>
          </cell>
          <cell r="M131">
            <v>0</v>
          </cell>
          <cell r="N131">
            <v>2.9999999999999998E-14</v>
          </cell>
          <cell r="O131">
            <v>0</v>
          </cell>
          <cell r="P131">
            <v>1.28E-12</v>
          </cell>
          <cell r="Q131">
            <v>0</v>
          </cell>
          <cell r="R131">
            <v>0</v>
          </cell>
          <cell r="S131">
            <v>0</v>
          </cell>
          <cell r="T131">
            <v>0</v>
          </cell>
          <cell r="U131">
            <v>0</v>
          </cell>
          <cell r="X131">
            <v>0</v>
          </cell>
          <cell r="Z131">
            <v>0</v>
          </cell>
          <cell r="AA131">
            <v>-2.9999999999999998E-14</v>
          </cell>
          <cell r="AB131">
            <v>0</v>
          </cell>
          <cell r="AD131">
            <v>0</v>
          </cell>
          <cell r="AF131">
            <v>0</v>
          </cell>
          <cell r="AJ131">
            <v>0</v>
          </cell>
          <cell r="AL131">
            <v>0</v>
          </cell>
        </row>
        <row r="132">
          <cell r="C132">
            <v>0</v>
          </cell>
          <cell r="D132">
            <v>0</v>
          </cell>
          <cell r="E132">
            <v>0</v>
          </cell>
          <cell r="G132">
            <v>0</v>
          </cell>
          <cell r="H132">
            <v>0</v>
          </cell>
          <cell r="I132">
            <v>13.976863829660999</v>
          </cell>
          <cell r="J132">
            <v>0</v>
          </cell>
          <cell r="K132">
            <v>0</v>
          </cell>
          <cell r="M132">
            <v>0</v>
          </cell>
          <cell r="N132">
            <v>0</v>
          </cell>
          <cell r="O132">
            <v>0</v>
          </cell>
          <cell r="P132">
            <v>0</v>
          </cell>
          <cell r="Q132">
            <v>0</v>
          </cell>
          <cell r="R132">
            <v>0</v>
          </cell>
          <cell r="T132">
            <v>0</v>
          </cell>
          <cell r="U132">
            <v>0</v>
          </cell>
          <cell r="X132">
            <v>0</v>
          </cell>
          <cell r="Z132">
            <v>0</v>
          </cell>
          <cell r="AA132">
            <v>0</v>
          </cell>
          <cell r="AB132">
            <v>0</v>
          </cell>
          <cell r="AD132">
            <v>0</v>
          </cell>
          <cell r="AF132">
            <v>0</v>
          </cell>
          <cell r="AI132">
            <v>0</v>
          </cell>
          <cell r="AJ132">
            <v>0</v>
          </cell>
          <cell r="AL132">
            <v>0</v>
          </cell>
        </row>
        <row r="133">
          <cell r="E133">
            <v>36.605657237937002</v>
          </cell>
          <cell r="G133">
            <v>3806.8283005414</v>
          </cell>
          <cell r="I133">
            <v>117.16775210396</v>
          </cell>
          <cell r="J133">
            <v>12.881863560732</v>
          </cell>
          <cell r="M133">
            <v>530.22739877980996</v>
          </cell>
          <cell r="N133">
            <v>-11.235747088186001</v>
          </cell>
          <cell r="O133">
            <v>1166.5572290235</v>
          </cell>
          <cell r="P133">
            <v>-6.0714671872841999</v>
          </cell>
          <cell r="Q133">
            <v>16248.474764282</v>
          </cell>
          <cell r="R133">
            <v>6.8896283971159002</v>
          </cell>
          <cell r="T133">
            <v>-95.247932862191007</v>
          </cell>
          <cell r="U133">
            <v>2.2185246810871</v>
          </cell>
          <cell r="X133">
            <v>13580.698835275</v>
          </cell>
          <cell r="Z133">
            <v>-7.0681894274766996</v>
          </cell>
          <cell r="AA133">
            <v>-0.53047583682563004</v>
          </cell>
          <cell r="AD133">
            <v>-0.70549084858569</v>
          </cell>
          <cell r="AF133">
            <v>237.38625983178</v>
          </cell>
          <cell r="AJ133">
            <v>6294</v>
          </cell>
          <cell r="AL133">
            <v>-1.5640599001664</v>
          </cell>
        </row>
        <row r="134">
          <cell r="C134">
            <v>0</v>
          </cell>
          <cell r="D134">
            <v>0</v>
          </cell>
          <cell r="E134">
            <v>0</v>
          </cell>
          <cell r="H134">
            <v>0</v>
          </cell>
          <cell r="I134">
            <v>0</v>
          </cell>
          <cell r="J134">
            <v>0</v>
          </cell>
          <cell r="K134">
            <v>0</v>
          </cell>
          <cell r="M134">
            <v>-2.2185246810871</v>
          </cell>
          <cell r="N134">
            <v>0</v>
          </cell>
          <cell r="O134">
            <v>0</v>
          </cell>
          <cell r="P134">
            <v>0</v>
          </cell>
          <cell r="Q134">
            <v>0</v>
          </cell>
          <cell r="R134">
            <v>0</v>
          </cell>
          <cell r="T134">
            <v>0</v>
          </cell>
          <cell r="U134">
            <v>0</v>
          </cell>
          <cell r="X134">
            <v>0</v>
          </cell>
          <cell r="Z134">
            <v>0</v>
          </cell>
          <cell r="AA134">
            <v>0</v>
          </cell>
          <cell r="AB134">
            <v>0</v>
          </cell>
          <cell r="AD134">
            <v>0</v>
          </cell>
          <cell r="AF134">
            <v>0</v>
          </cell>
          <cell r="AJ134">
            <v>2</v>
          </cell>
          <cell r="AL134">
            <v>-5.5463117027180001E-2</v>
          </cell>
        </row>
        <row r="135">
          <cell r="C135">
            <v>0</v>
          </cell>
          <cell r="E135">
            <v>0</v>
          </cell>
          <cell r="G135">
            <v>0</v>
          </cell>
          <cell r="H135">
            <v>0</v>
          </cell>
          <cell r="I135">
            <v>0</v>
          </cell>
          <cell r="J135">
            <v>0</v>
          </cell>
          <cell r="K135">
            <v>0</v>
          </cell>
          <cell r="M135">
            <v>0</v>
          </cell>
          <cell r="N135">
            <v>9.9833610600000006E-6</v>
          </cell>
          <cell r="O135">
            <v>0</v>
          </cell>
          <cell r="P135">
            <v>0</v>
          </cell>
          <cell r="Q135">
            <v>0</v>
          </cell>
          <cell r="R135">
            <v>0</v>
          </cell>
          <cell r="T135">
            <v>0</v>
          </cell>
          <cell r="U135">
            <v>0</v>
          </cell>
          <cell r="X135">
            <v>0</v>
          </cell>
          <cell r="Z135">
            <v>0</v>
          </cell>
          <cell r="AA135">
            <v>0</v>
          </cell>
          <cell r="AB135">
            <v>0</v>
          </cell>
          <cell r="AD135">
            <v>0</v>
          </cell>
          <cell r="AF135">
            <v>0</v>
          </cell>
          <cell r="AI135">
            <v>0</v>
          </cell>
          <cell r="AJ135">
            <v>0</v>
          </cell>
          <cell r="AL135">
            <v>0</v>
          </cell>
        </row>
        <row r="136">
          <cell r="C136">
            <v>0</v>
          </cell>
          <cell r="D136">
            <v>0</v>
          </cell>
          <cell r="E136">
            <v>0</v>
          </cell>
          <cell r="H136">
            <v>0</v>
          </cell>
          <cell r="I136">
            <v>0</v>
          </cell>
          <cell r="J136">
            <v>0</v>
          </cell>
          <cell r="K136">
            <v>0</v>
          </cell>
          <cell r="M136">
            <v>0</v>
          </cell>
          <cell r="N136">
            <v>0</v>
          </cell>
          <cell r="O136">
            <v>0</v>
          </cell>
          <cell r="P136">
            <v>0</v>
          </cell>
          <cell r="Q136">
            <v>0</v>
          </cell>
          <cell r="R136">
            <v>0</v>
          </cell>
          <cell r="T136">
            <v>0</v>
          </cell>
          <cell r="U136">
            <v>0</v>
          </cell>
          <cell r="X136">
            <v>63.227953410982003</v>
          </cell>
          <cell r="Z136">
            <v>0</v>
          </cell>
          <cell r="AA136">
            <v>0</v>
          </cell>
          <cell r="AB136">
            <v>0</v>
          </cell>
          <cell r="AD136">
            <v>0</v>
          </cell>
          <cell r="AF136">
            <v>0</v>
          </cell>
          <cell r="AI136">
            <v>0</v>
          </cell>
          <cell r="AJ136">
            <v>0</v>
          </cell>
          <cell r="AL136">
            <v>0</v>
          </cell>
        </row>
        <row r="137">
          <cell r="E137">
            <v>0</v>
          </cell>
          <cell r="G137">
            <v>714.51944443170999</v>
          </cell>
          <cell r="H137">
            <v>2.1173098036027</v>
          </cell>
          <cell r="I137">
            <v>13.233413625955</v>
          </cell>
          <cell r="J137">
            <v>-5.4353854686630003E-2</v>
          </cell>
          <cell r="K137">
            <v>0</v>
          </cell>
          <cell r="M137">
            <v>140.87631724903</v>
          </cell>
          <cell r="N137">
            <v>2.383250138658E-2</v>
          </cell>
          <cell r="O137">
            <v>-5.4408905635508003</v>
          </cell>
          <cell r="P137">
            <v>-5.8478869099602004</v>
          </cell>
          <cell r="R137">
            <v>1.10926234054E-3</v>
          </cell>
          <cell r="T137">
            <v>1.3328445229682</v>
          </cell>
          <cell r="U137">
            <v>0</v>
          </cell>
          <cell r="X137">
            <v>0</v>
          </cell>
          <cell r="Z137">
            <v>8.5562293069454007</v>
          </cell>
          <cell r="AA137">
            <v>0</v>
          </cell>
          <cell r="AD137">
            <v>-2.2185246810899999E-3</v>
          </cell>
          <cell r="AF137">
            <v>0</v>
          </cell>
          <cell r="AI137">
            <v>97.784568372804003</v>
          </cell>
          <cell r="AJ137">
            <v>49</v>
          </cell>
          <cell r="AL137">
            <v>2.2185246810869998E-2</v>
          </cell>
        </row>
        <row r="138">
          <cell r="C138">
            <v>0</v>
          </cell>
          <cell r="H138">
            <v>0</v>
          </cell>
          <cell r="I138">
            <v>0</v>
          </cell>
          <cell r="J138">
            <v>0</v>
          </cell>
          <cell r="K138">
            <v>0</v>
          </cell>
          <cell r="M138">
            <v>4.4370493621742</v>
          </cell>
          <cell r="N138">
            <v>1.55518580144E-3</v>
          </cell>
          <cell r="O138">
            <v>-1.5034707049578</v>
          </cell>
          <cell r="P138">
            <v>0</v>
          </cell>
          <cell r="R138">
            <v>1.10926234054E-3</v>
          </cell>
          <cell r="T138">
            <v>0</v>
          </cell>
          <cell r="U138">
            <v>0</v>
          </cell>
          <cell r="X138">
            <v>52.135330005546002</v>
          </cell>
          <cell r="Z138">
            <v>20.832558312562998</v>
          </cell>
          <cell r="AA138">
            <v>0.50395204498434998</v>
          </cell>
          <cell r="AD138">
            <v>0</v>
          </cell>
          <cell r="AF138">
            <v>0</v>
          </cell>
          <cell r="AJ138">
            <v>85</v>
          </cell>
          <cell r="AL138">
            <v>0</v>
          </cell>
        </row>
        <row r="139">
          <cell r="C139">
            <v>0</v>
          </cell>
          <cell r="E139">
            <v>0</v>
          </cell>
          <cell r="H139">
            <v>8.3438376773879996E-2</v>
          </cell>
          <cell r="I139">
            <v>0</v>
          </cell>
          <cell r="J139">
            <v>1.1769273433167</v>
          </cell>
          <cell r="K139">
            <v>0</v>
          </cell>
          <cell r="M139">
            <v>0</v>
          </cell>
          <cell r="N139">
            <v>1.89683860233E-3</v>
          </cell>
          <cell r="O139">
            <v>6.3090073568916001</v>
          </cell>
          <cell r="P139">
            <v>0</v>
          </cell>
          <cell r="Q139">
            <v>0</v>
          </cell>
          <cell r="R139">
            <v>0</v>
          </cell>
          <cell r="T139">
            <v>0.36749116607774002</v>
          </cell>
          <cell r="U139">
            <v>0</v>
          </cell>
          <cell r="X139">
            <v>0</v>
          </cell>
          <cell r="Z139">
            <v>0</v>
          </cell>
          <cell r="AA139">
            <v>0</v>
          </cell>
          <cell r="AD139">
            <v>-0.17526344980587999</v>
          </cell>
          <cell r="AF139">
            <v>0</v>
          </cell>
          <cell r="AI139">
            <v>15.278838808251001</v>
          </cell>
          <cell r="AJ139">
            <v>0</v>
          </cell>
          <cell r="AL139">
            <v>9.9833610648920004E-2</v>
          </cell>
        </row>
        <row r="140">
          <cell r="C140">
            <v>845.29265910285994</v>
          </cell>
          <cell r="E140">
            <v>17.748197448696999</v>
          </cell>
          <cell r="G140">
            <v>717.08148263825001</v>
          </cell>
          <cell r="H140">
            <v>1.6466474199976</v>
          </cell>
          <cell r="M140">
            <v>246.25623960067</v>
          </cell>
          <cell r="N140">
            <v>-6.3547420965059997E-2</v>
          </cell>
          <cell r="O140">
            <v>249.50397931187999</v>
          </cell>
          <cell r="P140">
            <v>0</v>
          </cell>
          <cell r="Q140">
            <v>12070.992789795</v>
          </cell>
          <cell r="R140">
            <v>0.38047698280643</v>
          </cell>
          <cell r="T140">
            <v>-3.8913427561837</v>
          </cell>
          <cell r="U140">
            <v>0</v>
          </cell>
          <cell r="X140">
            <v>7335.5518580143998</v>
          </cell>
          <cell r="Y140">
            <v>28.850230093432</v>
          </cell>
          <cell r="Z140">
            <v>58.405565269149001</v>
          </cell>
          <cell r="AA140">
            <v>-3.0502360617474</v>
          </cell>
          <cell r="AB140">
            <v>0</v>
          </cell>
          <cell r="AD140">
            <v>0</v>
          </cell>
          <cell r="AF140">
            <v>19.930480585577001</v>
          </cell>
          <cell r="AI140">
            <v>1917.4942704354</v>
          </cell>
          <cell r="AJ140">
            <v>2716</v>
          </cell>
          <cell r="AL140">
            <v>0.28840820854131999</v>
          </cell>
        </row>
        <row r="141">
          <cell r="C141">
            <v>0</v>
          </cell>
          <cell r="D141">
            <v>0</v>
          </cell>
          <cell r="E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X141">
            <v>0</v>
          </cell>
          <cell r="Z141">
            <v>0</v>
          </cell>
          <cell r="AA141">
            <v>0</v>
          </cell>
          <cell r="AB141">
            <v>0</v>
          </cell>
          <cell r="AD141">
            <v>0</v>
          </cell>
          <cell r="AF141">
            <v>0</v>
          </cell>
          <cell r="AI141">
            <v>24.446142093201001</v>
          </cell>
          <cell r="AJ141">
            <v>1</v>
          </cell>
          <cell r="AL141">
            <v>0</v>
          </cell>
        </row>
        <row r="142">
          <cell r="E142">
            <v>-2.2185246810871</v>
          </cell>
          <cell r="G142">
            <v>770.00513764813002</v>
          </cell>
          <cell r="H142">
            <v>0.61175944374415003</v>
          </cell>
          <cell r="I142">
            <v>10.556992892616</v>
          </cell>
          <cell r="J142">
            <v>13.948973932335001</v>
          </cell>
          <cell r="M142">
            <v>109.81697171381001</v>
          </cell>
          <cell r="N142">
            <v>2.3650582362728998</v>
          </cell>
          <cell r="O142">
            <v>823.75939311016998</v>
          </cell>
          <cell r="P142">
            <v>0</v>
          </cell>
          <cell r="Q142">
            <v>4400.4437049362004</v>
          </cell>
          <cell r="R142">
            <v>-0.60898502495840001</v>
          </cell>
          <cell r="S142">
            <v>855.48183863447002</v>
          </cell>
          <cell r="T142">
            <v>-81.815220848056001</v>
          </cell>
          <cell r="X142">
            <v>3232.3904603439</v>
          </cell>
          <cell r="Y142">
            <v>35.501882582623999</v>
          </cell>
          <cell r="Z142">
            <v>-111.47898763687</v>
          </cell>
          <cell r="AA142">
            <v>3.0502360617474</v>
          </cell>
          <cell r="AD142">
            <v>1.10926234054E-3</v>
          </cell>
          <cell r="AF142">
            <v>200.72841161188001</v>
          </cell>
          <cell r="AI142">
            <v>1203.9724980901001</v>
          </cell>
          <cell r="AJ142">
            <v>3161</v>
          </cell>
          <cell r="AL142">
            <v>3.3277870216309999E-2</v>
          </cell>
        </row>
        <row r="143">
          <cell r="C143">
            <v>0</v>
          </cell>
          <cell r="H143">
            <v>0</v>
          </cell>
          <cell r="I143">
            <v>0</v>
          </cell>
          <cell r="K143">
            <v>0</v>
          </cell>
          <cell r="M143">
            <v>0</v>
          </cell>
          <cell r="N143">
            <v>1.1416528008870001E-2</v>
          </cell>
          <cell r="O143">
            <v>0</v>
          </cell>
          <cell r="P143">
            <v>0</v>
          </cell>
          <cell r="Q143">
            <v>0</v>
          </cell>
          <cell r="R143">
            <v>-4.9916805324460002E-2</v>
          </cell>
          <cell r="T143">
            <v>0</v>
          </cell>
          <cell r="U143">
            <v>0</v>
          </cell>
          <cell r="X143">
            <v>3.3277870216305998</v>
          </cell>
          <cell r="Z143">
            <v>0</v>
          </cell>
          <cell r="AA143">
            <v>0</v>
          </cell>
          <cell r="AD143">
            <v>0</v>
          </cell>
          <cell r="AF143">
            <v>0</v>
          </cell>
          <cell r="AI143">
            <v>0</v>
          </cell>
          <cell r="AJ143">
            <v>1</v>
          </cell>
          <cell r="AL143">
            <v>0</v>
          </cell>
        </row>
        <row r="144">
          <cell r="C144">
            <v>0</v>
          </cell>
          <cell r="D144">
            <v>0</v>
          </cell>
          <cell r="E144">
            <v>0</v>
          </cell>
          <cell r="G144">
            <v>0</v>
          </cell>
          <cell r="H144">
            <v>0</v>
          </cell>
          <cell r="I144">
            <v>0</v>
          </cell>
          <cell r="J144">
            <v>0</v>
          </cell>
          <cell r="K144">
            <v>0</v>
          </cell>
          <cell r="M144">
            <v>0</v>
          </cell>
          <cell r="N144">
            <v>0</v>
          </cell>
          <cell r="O144">
            <v>0</v>
          </cell>
          <cell r="P144">
            <v>0</v>
          </cell>
          <cell r="Q144">
            <v>0</v>
          </cell>
          <cell r="R144">
            <v>-9.9833610648899992E-3</v>
          </cell>
          <cell r="T144">
            <v>0</v>
          </cell>
          <cell r="U144">
            <v>0</v>
          </cell>
          <cell r="X144">
            <v>0</v>
          </cell>
          <cell r="Z144">
            <v>0</v>
          </cell>
          <cell r="AA144">
            <v>0</v>
          </cell>
          <cell r="AB144">
            <v>0</v>
          </cell>
          <cell r="AD144">
            <v>0</v>
          </cell>
          <cell r="AF144">
            <v>0</v>
          </cell>
          <cell r="AI144">
            <v>0</v>
          </cell>
          <cell r="AJ144">
            <v>0</v>
          </cell>
          <cell r="AL144">
            <v>0</v>
          </cell>
        </row>
        <row r="145">
          <cell r="C145">
            <v>0</v>
          </cell>
          <cell r="E145">
            <v>0</v>
          </cell>
          <cell r="G145">
            <v>0</v>
          </cell>
          <cell r="I145">
            <v>0</v>
          </cell>
          <cell r="J145">
            <v>-3.7659456461452998</v>
          </cell>
          <cell r="K145">
            <v>0</v>
          </cell>
          <cell r="M145">
            <v>63.227953410982003</v>
          </cell>
          <cell r="N145">
            <v>1.683749306711E-2</v>
          </cell>
          <cell r="O145">
            <v>12.311031039349</v>
          </cell>
          <cell r="P145">
            <v>0</v>
          </cell>
          <cell r="Q145">
            <v>0</v>
          </cell>
          <cell r="R145">
            <v>0</v>
          </cell>
          <cell r="T145">
            <v>0</v>
          </cell>
          <cell r="X145">
            <v>2766.5002773156002</v>
          </cell>
          <cell r="AA145">
            <v>0</v>
          </cell>
          <cell r="AD145">
            <v>0</v>
          </cell>
          <cell r="AF145">
            <v>0</v>
          </cell>
          <cell r="AI145">
            <v>134.45378151260999</v>
          </cell>
          <cell r="AJ145">
            <v>-22</v>
          </cell>
          <cell r="AL145">
            <v>0</v>
          </cell>
        </row>
        <row r="146">
          <cell r="C146">
            <v>0</v>
          </cell>
          <cell r="D146">
            <v>0</v>
          </cell>
          <cell r="E146">
            <v>0</v>
          </cell>
          <cell r="G146">
            <v>0</v>
          </cell>
          <cell r="H146">
            <v>0</v>
          </cell>
          <cell r="I146">
            <v>0</v>
          </cell>
          <cell r="K146">
            <v>0</v>
          </cell>
          <cell r="M146">
            <v>0</v>
          </cell>
          <cell r="N146">
            <v>2.2185246800000002E-6</v>
          </cell>
          <cell r="O146">
            <v>0</v>
          </cell>
          <cell r="P146">
            <v>0</v>
          </cell>
          <cell r="Q146">
            <v>0</v>
          </cell>
          <cell r="R146">
            <v>0</v>
          </cell>
          <cell r="T146">
            <v>0</v>
          </cell>
          <cell r="U146">
            <v>0</v>
          </cell>
          <cell r="X146">
            <v>0</v>
          </cell>
          <cell r="Z146">
            <v>0</v>
          </cell>
          <cell r="AA146">
            <v>0</v>
          </cell>
          <cell r="AB146">
            <v>0</v>
          </cell>
          <cell r="AD146">
            <v>3.3277870216309999E-2</v>
          </cell>
          <cell r="AF146">
            <v>0</v>
          </cell>
          <cell r="AJ146">
            <v>0</v>
          </cell>
          <cell r="AL146">
            <v>0</v>
          </cell>
        </row>
        <row r="147">
          <cell r="C147">
            <v>0</v>
          </cell>
          <cell r="I147">
            <v>0</v>
          </cell>
          <cell r="J147">
            <v>0</v>
          </cell>
          <cell r="K147">
            <v>0</v>
          </cell>
          <cell r="M147">
            <v>0</v>
          </cell>
          <cell r="N147">
            <v>1.7193566278400001E-3</v>
          </cell>
          <cell r="P147">
            <v>0</v>
          </cell>
          <cell r="R147">
            <v>0</v>
          </cell>
          <cell r="T147">
            <v>0</v>
          </cell>
          <cell r="U147">
            <v>0</v>
          </cell>
          <cell r="X147">
            <v>0</v>
          </cell>
          <cell r="Z147">
            <v>0</v>
          </cell>
          <cell r="AA147">
            <v>0</v>
          </cell>
          <cell r="AB147">
            <v>0</v>
          </cell>
          <cell r="AD147">
            <v>0</v>
          </cell>
          <cell r="AF147">
            <v>0</v>
          </cell>
          <cell r="AI147">
            <v>0</v>
          </cell>
          <cell r="AJ147">
            <v>0</v>
          </cell>
          <cell r="AL147">
            <v>-0.34387132556849997</v>
          </cell>
        </row>
        <row r="148">
          <cell r="C148">
            <v>0</v>
          </cell>
          <cell r="H148">
            <v>0</v>
          </cell>
          <cell r="I148">
            <v>0</v>
          </cell>
          <cell r="J148">
            <v>0</v>
          </cell>
          <cell r="K148">
            <v>0</v>
          </cell>
          <cell r="M148">
            <v>0</v>
          </cell>
          <cell r="N148">
            <v>0</v>
          </cell>
          <cell r="O148">
            <v>0</v>
          </cell>
          <cell r="P148">
            <v>0</v>
          </cell>
          <cell r="Q148">
            <v>0</v>
          </cell>
          <cell r="R148">
            <v>0</v>
          </cell>
          <cell r="T148">
            <v>0</v>
          </cell>
          <cell r="U148">
            <v>0</v>
          </cell>
          <cell r="X148">
            <v>0</v>
          </cell>
          <cell r="Z148">
            <v>0</v>
          </cell>
          <cell r="AA148">
            <v>0</v>
          </cell>
          <cell r="AB148">
            <v>0</v>
          </cell>
          <cell r="AD148">
            <v>0</v>
          </cell>
          <cell r="AF148">
            <v>0</v>
          </cell>
          <cell r="AI148">
            <v>0</v>
          </cell>
          <cell r="AJ148">
            <v>0</v>
          </cell>
          <cell r="AL148">
            <v>0</v>
          </cell>
        </row>
        <row r="149">
          <cell r="C149">
            <v>0</v>
          </cell>
          <cell r="D149">
            <v>0</v>
          </cell>
          <cell r="E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X149">
            <v>0</v>
          </cell>
          <cell r="Z149">
            <v>0</v>
          </cell>
          <cell r="AA149">
            <v>0</v>
          </cell>
          <cell r="AB149">
            <v>0</v>
          </cell>
          <cell r="AD149">
            <v>0</v>
          </cell>
          <cell r="AF149">
            <v>0</v>
          </cell>
          <cell r="AI149">
            <v>0</v>
          </cell>
          <cell r="AJ149">
            <v>0</v>
          </cell>
          <cell r="AL149">
            <v>0</v>
          </cell>
        </row>
        <row r="150">
          <cell r="C150">
            <v>0</v>
          </cell>
          <cell r="H150">
            <v>0</v>
          </cell>
          <cell r="I150">
            <v>0</v>
          </cell>
          <cell r="J150">
            <v>0</v>
          </cell>
          <cell r="K150">
            <v>0</v>
          </cell>
          <cell r="M150">
            <v>0</v>
          </cell>
          <cell r="N150">
            <v>2.3294509150000001E-5</v>
          </cell>
          <cell r="O150">
            <v>0</v>
          </cell>
          <cell r="P150">
            <v>0</v>
          </cell>
          <cell r="Q150">
            <v>0</v>
          </cell>
          <cell r="R150">
            <v>-0.93178036605657</v>
          </cell>
          <cell r="T150">
            <v>0</v>
          </cell>
          <cell r="U150">
            <v>0</v>
          </cell>
          <cell r="X150">
            <v>0</v>
          </cell>
          <cell r="Z150">
            <v>0</v>
          </cell>
          <cell r="AA150">
            <v>0</v>
          </cell>
          <cell r="AB150">
            <v>0</v>
          </cell>
          <cell r="AD150">
            <v>0</v>
          </cell>
          <cell r="AF150">
            <v>0</v>
          </cell>
          <cell r="AI150">
            <v>576.01222307105002</v>
          </cell>
          <cell r="AJ150">
            <v>0</v>
          </cell>
          <cell r="AL150">
            <v>0</v>
          </cell>
        </row>
        <row r="151">
          <cell r="C151">
            <v>0</v>
          </cell>
          <cell r="D151">
            <v>0</v>
          </cell>
          <cell r="G151">
            <v>0</v>
          </cell>
          <cell r="H151">
            <v>0</v>
          </cell>
          <cell r="I151">
            <v>0</v>
          </cell>
          <cell r="J151">
            <v>0</v>
          </cell>
          <cell r="K151">
            <v>0</v>
          </cell>
          <cell r="M151">
            <v>0</v>
          </cell>
          <cell r="N151">
            <v>0</v>
          </cell>
          <cell r="O151">
            <v>0</v>
          </cell>
          <cell r="P151">
            <v>0</v>
          </cell>
          <cell r="Q151">
            <v>0</v>
          </cell>
          <cell r="R151">
            <v>0</v>
          </cell>
          <cell r="T151">
            <v>0</v>
          </cell>
          <cell r="U151">
            <v>0</v>
          </cell>
          <cell r="X151">
            <v>0</v>
          </cell>
          <cell r="Z151">
            <v>0</v>
          </cell>
          <cell r="AA151">
            <v>0</v>
          </cell>
          <cell r="AB151">
            <v>0</v>
          </cell>
          <cell r="AD151">
            <v>0</v>
          </cell>
          <cell r="AF151">
            <v>0</v>
          </cell>
          <cell r="AI151">
            <v>0</v>
          </cell>
          <cell r="AJ151">
            <v>0</v>
          </cell>
          <cell r="AL151">
            <v>0</v>
          </cell>
        </row>
        <row r="152">
          <cell r="C152">
            <v>0</v>
          </cell>
          <cell r="E152">
            <v>0</v>
          </cell>
          <cell r="H152">
            <v>0</v>
          </cell>
          <cell r="I152">
            <v>0</v>
          </cell>
          <cell r="J152">
            <v>0</v>
          </cell>
          <cell r="K152">
            <v>0</v>
          </cell>
          <cell r="M152">
            <v>0</v>
          </cell>
          <cell r="N152">
            <v>2.3971159179100002E-3</v>
          </cell>
          <cell r="O152">
            <v>0</v>
          </cell>
          <cell r="P152">
            <v>0</v>
          </cell>
          <cell r="Q152">
            <v>0</v>
          </cell>
          <cell r="R152">
            <v>0</v>
          </cell>
          <cell r="T152">
            <v>0</v>
          </cell>
          <cell r="U152">
            <v>0</v>
          </cell>
          <cell r="X152">
            <v>0</v>
          </cell>
          <cell r="Z152">
            <v>0</v>
          </cell>
          <cell r="AA152">
            <v>0</v>
          </cell>
          <cell r="AB152">
            <v>0</v>
          </cell>
          <cell r="AD152">
            <v>0</v>
          </cell>
          <cell r="AF152">
            <v>0</v>
          </cell>
          <cell r="AI152">
            <v>0</v>
          </cell>
          <cell r="AJ152">
            <v>0</v>
          </cell>
          <cell r="AL152">
            <v>0</v>
          </cell>
        </row>
        <row r="153">
          <cell r="C153">
            <v>0</v>
          </cell>
          <cell r="D153">
            <v>0</v>
          </cell>
          <cell r="E153">
            <v>0</v>
          </cell>
          <cell r="G153">
            <v>0</v>
          </cell>
          <cell r="H153">
            <v>0</v>
          </cell>
          <cell r="I153">
            <v>0</v>
          </cell>
          <cell r="J153">
            <v>0</v>
          </cell>
          <cell r="K153">
            <v>0</v>
          </cell>
          <cell r="M153">
            <v>0</v>
          </cell>
          <cell r="N153">
            <v>5.5463117000000002E-6</v>
          </cell>
          <cell r="O153">
            <v>0</v>
          </cell>
          <cell r="P153">
            <v>0</v>
          </cell>
          <cell r="Q153">
            <v>0</v>
          </cell>
          <cell r="R153">
            <v>-3.3277870216299999E-3</v>
          </cell>
          <cell r="T153">
            <v>0</v>
          </cell>
          <cell r="U153">
            <v>0</v>
          </cell>
          <cell r="X153">
            <v>0</v>
          </cell>
          <cell r="Z153">
            <v>0</v>
          </cell>
          <cell r="AA153">
            <v>0</v>
          </cell>
          <cell r="AB153">
            <v>0</v>
          </cell>
          <cell r="AD153">
            <v>0</v>
          </cell>
          <cell r="AF153">
            <v>0</v>
          </cell>
          <cell r="AJ153">
            <v>0</v>
          </cell>
          <cell r="AL153">
            <v>0</v>
          </cell>
        </row>
        <row r="154">
          <cell r="C154">
            <v>0</v>
          </cell>
          <cell r="D154">
            <v>0</v>
          </cell>
          <cell r="E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X154">
            <v>0</v>
          </cell>
          <cell r="Z154">
            <v>0</v>
          </cell>
          <cell r="AA154">
            <v>0</v>
          </cell>
          <cell r="AB154">
            <v>0</v>
          </cell>
          <cell r="AD154">
            <v>0</v>
          </cell>
          <cell r="AF154">
            <v>0</v>
          </cell>
          <cell r="AI154">
            <v>0</v>
          </cell>
          <cell r="AL154">
            <v>0</v>
          </cell>
        </row>
        <row r="155">
          <cell r="C155">
            <v>0</v>
          </cell>
          <cell r="H155">
            <v>0</v>
          </cell>
          <cell r="L155">
            <v>0</v>
          </cell>
          <cell r="N155">
            <v>0</v>
          </cell>
          <cell r="P155">
            <v>0</v>
          </cell>
          <cell r="T155">
            <v>0</v>
          </cell>
          <cell r="AD155">
            <v>0</v>
          </cell>
          <cell r="AF155">
            <v>0</v>
          </cell>
        </row>
        <row r="156">
          <cell r="C156">
            <v>0</v>
          </cell>
          <cell r="D156">
            <v>0</v>
          </cell>
          <cell r="E156">
            <v>0</v>
          </cell>
          <cell r="I156">
            <v>0</v>
          </cell>
          <cell r="J156">
            <v>0</v>
          </cell>
          <cell r="K156">
            <v>0</v>
          </cell>
          <cell r="M156">
            <v>0</v>
          </cell>
          <cell r="N156">
            <v>3.7382140876000001E-4</v>
          </cell>
          <cell r="O156">
            <v>0</v>
          </cell>
          <cell r="P156">
            <v>0</v>
          </cell>
          <cell r="Q156">
            <v>0</v>
          </cell>
          <cell r="R156">
            <v>0</v>
          </cell>
          <cell r="T156">
            <v>0</v>
          </cell>
          <cell r="U156">
            <v>0</v>
          </cell>
          <cell r="X156">
            <v>0</v>
          </cell>
          <cell r="Z156">
            <v>0</v>
          </cell>
          <cell r="AA156">
            <v>0.13261895920641001</v>
          </cell>
          <cell r="AB156">
            <v>0</v>
          </cell>
          <cell r="AD156">
            <v>0</v>
          </cell>
          <cell r="AF156">
            <v>0</v>
          </cell>
          <cell r="AI156">
            <v>0</v>
          </cell>
          <cell r="AJ156">
            <v>0</v>
          </cell>
          <cell r="AL156">
            <v>0</v>
          </cell>
        </row>
        <row r="157">
          <cell r="C157">
            <v>0</v>
          </cell>
          <cell r="G157">
            <v>116.35555358166999</v>
          </cell>
          <cell r="H157">
            <v>-5.4280486317244998</v>
          </cell>
          <cell r="I157">
            <v>0.74345020370535997</v>
          </cell>
          <cell r="J157">
            <v>2.3050471436494999</v>
          </cell>
          <cell r="K157">
            <v>0</v>
          </cell>
          <cell r="M157">
            <v>-5.5463117027177002</v>
          </cell>
          <cell r="N157">
            <v>-0.65658569051580995</v>
          </cell>
          <cell r="O157">
            <v>-5.7955006196407997</v>
          </cell>
          <cell r="P157">
            <v>1.511427468288E-2</v>
          </cell>
          <cell r="R157">
            <v>1.9667221297837001</v>
          </cell>
          <cell r="T157">
            <v>1.3474381625442</v>
          </cell>
          <cell r="U157">
            <v>0</v>
          </cell>
          <cell r="X157">
            <v>2.2185246810871</v>
          </cell>
          <cell r="AA157">
            <v>0.13261895920641001</v>
          </cell>
          <cell r="AD157">
            <v>0.17970049916805</v>
          </cell>
          <cell r="AF157">
            <v>0</v>
          </cell>
          <cell r="AI157">
            <v>61.115355233001999</v>
          </cell>
          <cell r="AJ157">
            <v>301</v>
          </cell>
          <cell r="AL157">
            <v>-1.0981697171381</v>
          </cell>
        </row>
        <row r="158">
          <cell r="C158">
            <v>0</v>
          </cell>
          <cell r="D158">
            <v>0</v>
          </cell>
          <cell r="E158">
            <v>0</v>
          </cell>
          <cell r="H158">
            <v>0</v>
          </cell>
          <cell r="I158">
            <v>0</v>
          </cell>
          <cell r="J158">
            <v>-0.41153632834164999</v>
          </cell>
          <cell r="K158">
            <v>0</v>
          </cell>
          <cell r="L158">
            <v>0</v>
          </cell>
          <cell r="M158">
            <v>0</v>
          </cell>
          <cell r="N158">
            <v>0</v>
          </cell>
          <cell r="O158">
            <v>-0.12799701999327001</v>
          </cell>
          <cell r="P158">
            <v>0</v>
          </cell>
          <cell r="Q158">
            <v>0</v>
          </cell>
          <cell r="R158">
            <v>1.5806988352744999</v>
          </cell>
          <cell r="T158">
            <v>0</v>
          </cell>
          <cell r="U158">
            <v>0</v>
          </cell>
          <cell r="X158">
            <v>0</v>
          </cell>
          <cell r="Z158">
            <v>0</v>
          </cell>
          <cell r="AA158">
            <v>-2.2014747228264002</v>
          </cell>
          <cell r="AB158">
            <v>0</v>
          </cell>
          <cell r="AD158">
            <v>0</v>
          </cell>
          <cell r="AF158">
            <v>0</v>
          </cell>
          <cell r="AI158">
            <v>9.1673032849503002</v>
          </cell>
          <cell r="AJ158">
            <v>0</v>
          </cell>
          <cell r="AL158">
            <v>0.28840820854131999</v>
          </cell>
        </row>
        <row r="159">
          <cell r="C159">
            <v>0</v>
          </cell>
          <cell r="G159">
            <v>0</v>
          </cell>
          <cell r="H159">
            <v>0</v>
          </cell>
          <cell r="I159">
            <v>0</v>
          </cell>
          <cell r="J159">
            <v>0</v>
          </cell>
          <cell r="K159">
            <v>0</v>
          </cell>
          <cell r="M159">
            <v>0</v>
          </cell>
          <cell r="N159">
            <v>5.5130338325000004E-4</v>
          </cell>
          <cell r="O159">
            <v>0</v>
          </cell>
          <cell r="P159">
            <v>0</v>
          </cell>
          <cell r="Q159">
            <v>0</v>
          </cell>
          <cell r="R159">
            <v>0</v>
          </cell>
          <cell r="T159">
            <v>0</v>
          </cell>
          <cell r="U159">
            <v>0</v>
          </cell>
          <cell r="X159">
            <v>0</v>
          </cell>
          <cell r="Z159">
            <v>0</v>
          </cell>
          <cell r="AA159">
            <v>0</v>
          </cell>
          <cell r="AB159">
            <v>0</v>
          </cell>
          <cell r="AD159">
            <v>0</v>
          </cell>
          <cell r="AF159">
            <v>0</v>
          </cell>
          <cell r="AI159">
            <v>7.6394194041252996</v>
          </cell>
          <cell r="AJ159">
            <v>0</v>
          </cell>
          <cell r="AL159">
            <v>0</v>
          </cell>
        </row>
        <row r="160">
          <cell r="C160">
            <v>0</v>
          </cell>
          <cell r="E160">
            <v>0</v>
          </cell>
          <cell r="I160">
            <v>0</v>
          </cell>
          <cell r="J160">
            <v>-1.3455352190793</v>
          </cell>
          <cell r="K160">
            <v>0</v>
          </cell>
          <cell r="M160">
            <v>0</v>
          </cell>
          <cell r="N160">
            <v>7.5540765390999997E-4</v>
          </cell>
          <cell r="P160">
            <v>0</v>
          </cell>
          <cell r="Q160">
            <v>0</v>
          </cell>
          <cell r="R160">
            <v>-3.6605657237940001E-2</v>
          </cell>
          <cell r="T160">
            <v>0</v>
          </cell>
          <cell r="U160">
            <v>0</v>
          </cell>
          <cell r="X160">
            <v>0</v>
          </cell>
          <cell r="Z160">
            <v>0</v>
          </cell>
          <cell r="AA160">
            <v>0.18566654288897</v>
          </cell>
          <cell r="AB160">
            <v>0</v>
          </cell>
          <cell r="AD160">
            <v>3.3277870216299999E-3</v>
          </cell>
          <cell r="AF160">
            <v>0</v>
          </cell>
          <cell r="AJ160">
            <v>0</v>
          </cell>
          <cell r="AL160">
            <v>0</v>
          </cell>
        </row>
        <row r="161">
          <cell r="C161">
            <v>0</v>
          </cell>
          <cell r="D161">
            <v>0</v>
          </cell>
          <cell r="E161">
            <v>0</v>
          </cell>
          <cell r="G161">
            <v>0</v>
          </cell>
          <cell r="H161">
            <v>0</v>
          </cell>
          <cell r="I161">
            <v>0</v>
          </cell>
          <cell r="J161">
            <v>0</v>
          </cell>
          <cell r="K161">
            <v>0</v>
          </cell>
          <cell r="L161">
            <v>0</v>
          </cell>
          <cell r="M161">
            <v>0</v>
          </cell>
          <cell r="N161">
            <v>1.331114809E-5</v>
          </cell>
          <cell r="O161">
            <v>0</v>
          </cell>
          <cell r="P161">
            <v>0</v>
          </cell>
          <cell r="Q161">
            <v>0</v>
          </cell>
          <cell r="R161">
            <v>0</v>
          </cell>
          <cell r="T161">
            <v>0</v>
          </cell>
          <cell r="U161">
            <v>0</v>
          </cell>
          <cell r="X161">
            <v>0</v>
          </cell>
          <cell r="Z161">
            <v>0</v>
          </cell>
          <cell r="AA161">
            <v>0</v>
          </cell>
          <cell r="AB161">
            <v>0</v>
          </cell>
          <cell r="AD161">
            <v>0</v>
          </cell>
          <cell r="AF161">
            <v>0</v>
          </cell>
          <cell r="AI161">
            <v>0</v>
          </cell>
          <cell r="AJ161">
            <v>0</v>
          </cell>
          <cell r="AL161">
            <v>0</v>
          </cell>
        </row>
        <row r="162">
          <cell r="C162">
            <v>0</v>
          </cell>
          <cell r="D162">
            <v>0</v>
          </cell>
          <cell r="H162">
            <v>0</v>
          </cell>
          <cell r="I162">
            <v>0</v>
          </cell>
          <cell r="J162">
            <v>0</v>
          </cell>
          <cell r="K162">
            <v>0</v>
          </cell>
          <cell r="M162">
            <v>0</v>
          </cell>
          <cell r="N162">
            <v>0</v>
          </cell>
          <cell r="O162">
            <v>0</v>
          </cell>
          <cell r="P162">
            <v>0</v>
          </cell>
          <cell r="Q162">
            <v>0</v>
          </cell>
          <cell r="R162">
            <v>-0.13089295618414001</v>
          </cell>
          <cell r="T162">
            <v>0</v>
          </cell>
          <cell r="U162">
            <v>0</v>
          </cell>
          <cell r="X162">
            <v>1.1092623405435</v>
          </cell>
          <cell r="Z162">
            <v>0</v>
          </cell>
          <cell r="AA162">
            <v>0</v>
          </cell>
          <cell r="AB162">
            <v>0</v>
          </cell>
          <cell r="AD162">
            <v>0</v>
          </cell>
          <cell r="AF162">
            <v>0</v>
          </cell>
          <cell r="AJ162">
            <v>0</v>
          </cell>
          <cell r="AL162">
            <v>0</v>
          </cell>
        </row>
        <row r="163">
          <cell r="C163">
            <v>0</v>
          </cell>
          <cell r="D163">
            <v>0</v>
          </cell>
          <cell r="E163">
            <v>0</v>
          </cell>
          <cell r="G163">
            <v>0</v>
          </cell>
          <cell r="H163">
            <v>0</v>
          </cell>
          <cell r="I163">
            <v>0</v>
          </cell>
          <cell r="J163">
            <v>0</v>
          </cell>
          <cell r="K163">
            <v>0</v>
          </cell>
          <cell r="L163">
            <v>0</v>
          </cell>
          <cell r="M163">
            <v>0</v>
          </cell>
          <cell r="N163">
            <v>1.2756516916E-4</v>
          </cell>
          <cell r="O163">
            <v>0</v>
          </cell>
          <cell r="P163">
            <v>0</v>
          </cell>
          <cell r="Q163">
            <v>0</v>
          </cell>
          <cell r="R163">
            <v>5.7681641708259998E-2</v>
          </cell>
          <cell r="T163">
            <v>0</v>
          </cell>
          <cell r="U163">
            <v>0</v>
          </cell>
          <cell r="X163">
            <v>0</v>
          </cell>
          <cell r="Z163">
            <v>0</v>
          </cell>
          <cell r="AA163">
            <v>-2.8380457270171</v>
          </cell>
          <cell r="AB163">
            <v>0</v>
          </cell>
          <cell r="AD163">
            <v>0</v>
          </cell>
          <cell r="AF163">
            <v>0</v>
          </cell>
          <cell r="AL163">
            <v>0.1552967276761</v>
          </cell>
        </row>
        <row r="164">
          <cell r="C164">
            <v>1185.6638365015999</v>
          </cell>
          <cell r="E164">
            <v>-1.1092623405435</v>
          </cell>
          <cell r="G164">
            <v>1074.0733616166999</v>
          </cell>
          <cell r="H164">
            <v>-9.7601349977636005</v>
          </cell>
          <cell r="I164">
            <v>0.29738008148214001</v>
          </cell>
          <cell r="J164">
            <v>0.89406544647809005</v>
          </cell>
          <cell r="M164">
            <v>-27.731558513587999</v>
          </cell>
          <cell r="N164">
            <v>-12.942189683860001</v>
          </cell>
          <cell r="O164">
            <v>87.291582197324999</v>
          </cell>
          <cell r="P164">
            <v>-0.23869455200695</v>
          </cell>
          <cell r="Q164">
            <v>2.2185246810871</v>
          </cell>
          <cell r="R164">
            <v>4.6733222407098998</v>
          </cell>
          <cell r="T164">
            <v>0</v>
          </cell>
          <cell r="U164">
            <v>-2.2185246810871</v>
          </cell>
          <cell r="X164">
            <v>126.45590682196</v>
          </cell>
          <cell r="AA164">
            <v>3.5541881067316998</v>
          </cell>
          <cell r="AD164">
            <v>-0.74431503050471004</v>
          </cell>
          <cell r="AF164">
            <v>16.846001447332998</v>
          </cell>
          <cell r="AI164">
            <v>734.91214667685006</v>
          </cell>
          <cell r="AL164">
            <v>-0.97615085967830995</v>
          </cell>
        </row>
        <row r="165">
          <cell r="C165">
            <v>0</v>
          </cell>
          <cell r="E165">
            <v>0</v>
          </cell>
          <cell r="H165">
            <v>0</v>
          </cell>
          <cell r="I165">
            <v>0</v>
          </cell>
          <cell r="J165">
            <v>0</v>
          </cell>
          <cell r="K165">
            <v>0</v>
          </cell>
          <cell r="M165">
            <v>0</v>
          </cell>
          <cell r="N165">
            <v>0</v>
          </cell>
          <cell r="O165">
            <v>0</v>
          </cell>
          <cell r="P165">
            <v>0</v>
          </cell>
          <cell r="Q165">
            <v>0</v>
          </cell>
          <cell r="R165">
            <v>0</v>
          </cell>
          <cell r="T165">
            <v>-12.589143109541</v>
          </cell>
          <cell r="U165">
            <v>0</v>
          </cell>
          <cell r="X165">
            <v>0</v>
          </cell>
          <cell r="Z165">
            <v>0</v>
          </cell>
          <cell r="AA165">
            <v>0</v>
          </cell>
          <cell r="AB165">
            <v>0</v>
          </cell>
          <cell r="AD165">
            <v>0</v>
          </cell>
          <cell r="AF165">
            <v>0</v>
          </cell>
        </row>
        <row r="166">
          <cell r="E166">
            <v>-340.54353854687002</v>
          </cell>
          <cell r="G166">
            <v>347.20639840614001</v>
          </cell>
          <cell r="I166">
            <v>5.9476016296427998</v>
          </cell>
          <cell r="J166">
            <v>0.21852468108708001</v>
          </cell>
          <cell r="M166">
            <v>15.52967276761</v>
          </cell>
          <cell r="N166">
            <v>0.28900499168053001</v>
          </cell>
          <cell r="O166">
            <v>-459.07184968157998</v>
          </cell>
          <cell r="P166">
            <v>-2.0560598103788998</v>
          </cell>
          <cell r="R166">
            <v>1.7814753189129</v>
          </cell>
          <cell r="T166">
            <v>0</v>
          </cell>
          <cell r="U166">
            <v>0</v>
          </cell>
          <cell r="X166">
            <v>3698.2806433721998</v>
          </cell>
          <cell r="Z166">
            <v>0</v>
          </cell>
          <cell r="AA166">
            <v>-0.45090446130179002</v>
          </cell>
          <cell r="AD166">
            <v>-4.4370493621699999E-3</v>
          </cell>
          <cell r="AJ166">
            <v>889</v>
          </cell>
          <cell r="AL166">
            <v>-1.109262340543E-2</v>
          </cell>
        </row>
        <row r="167">
          <cell r="E167">
            <v>-1.1092623405435</v>
          </cell>
          <cell r="G167">
            <v>57.161031722594998</v>
          </cell>
          <cell r="H167">
            <v>0</v>
          </cell>
          <cell r="I167">
            <v>-0.74345020370535997</v>
          </cell>
          <cell r="M167">
            <v>-1.1092623405435</v>
          </cell>
          <cell r="N167">
            <v>9.8724348309999995E-5</v>
          </cell>
          <cell r="O167">
            <v>0</v>
          </cell>
          <cell r="P167">
            <v>0</v>
          </cell>
          <cell r="Q167">
            <v>0</v>
          </cell>
          <cell r="R167">
            <v>-1.8424847476427999</v>
          </cell>
          <cell r="T167">
            <v>0</v>
          </cell>
          <cell r="U167">
            <v>0</v>
          </cell>
          <cell r="X167">
            <v>1.1092623405435</v>
          </cell>
          <cell r="AA167">
            <v>0</v>
          </cell>
          <cell r="AB167">
            <v>0</v>
          </cell>
          <cell r="AD167">
            <v>-4.4370493621699999E-3</v>
          </cell>
          <cell r="AE167">
            <v>-349.41763727121003</v>
          </cell>
          <cell r="AJ167">
            <v>-88</v>
          </cell>
          <cell r="AL167">
            <v>-1.109262340543E-2</v>
          </cell>
        </row>
        <row r="168">
          <cell r="C168">
            <v>0</v>
          </cell>
          <cell r="E168">
            <v>0</v>
          </cell>
          <cell r="H168">
            <v>0</v>
          </cell>
          <cell r="I168">
            <v>0</v>
          </cell>
          <cell r="K168">
            <v>0</v>
          </cell>
          <cell r="M168">
            <v>0</v>
          </cell>
          <cell r="N168">
            <v>5.4586799778099998E-3</v>
          </cell>
          <cell r="O168">
            <v>0</v>
          </cell>
          <cell r="P168">
            <v>0</v>
          </cell>
          <cell r="Q168">
            <v>0</v>
          </cell>
          <cell r="R168">
            <v>2.2185246810899999E-3</v>
          </cell>
          <cell r="T168">
            <v>0</v>
          </cell>
          <cell r="U168">
            <v>0</v>
          </cell>
          <cell r="X168">
            <v>2.2185246810871</v>
          </cell>
          <cell r="Z168">
            <v>0</v>
          </cell>
          <cell r="AA168">
            <v>0</v>
          </cell>
          <cell r="AB168">
            <v>0</v>
          </cell>
          <cell r="AD168">
            <v>0</v>
          </cell>
          <cell r="AF168">
            <v>0</v>
          </cell>
          <cell r="AI168">
            <v>0</v>
          </cell>
          <cell r="AJ168">
            <v>0</v>
          </cell>
          <cell r="AL168">
            <v>0</v>
          </cell>
        </row>
        <row r="169">
          <cell r="E169">
            <v>-333.88796450361002</v>
          </cell>
          <cell r="G169">
            <v>87.917477242927006</v>
          </cell>
          <cell r="I169">
            <v>7.1371219555714003</v>
          </cell>
          <cell r="L169">
            <v>-1.1092623405435</v>
          </cell>
          <cell r="M169">
            <v>16.638935108152999</v>
          </cell>
          <cell r="N169">
            <v>0.15291514143095</v>
          </cell>
          <cell r="O169">
            <v>-459.05548829845998</v>
          </cell>
          <cell r="P169">
            <v>-2.0560598103788998</v>
          </cell>
          <cell r="Q169">
            <v>0</v>
          </cell>
          <cell r="R169">
            <v>9.1503050471437</v>
          </cell>
          <cell r="S169">
            <v>1.5385492672453001</v>
          </cell>
          <cell r="T169">
            <v>0</v>
          </cell>
          <cell r="U169">
            <v>0</v>
          </cell>
          <cell r="X169">
            <v>3628.3971159179</v>
          </cell>
          <cell r="Z169">
            <v>-8.3082226603672993</v>
          </cell>
          <cell r="AA169">
            <v>0</v>
          </cell>
          <cell r="AD169">
            <v>0</v>
          </cell>
          <cell r="AI169">
            <v>7.6394194041252996</v>
          </cell>
          <cell r="AJ169">
            <v>58</v>
          </cell>
          <cell r="AL169">
            <v>0</v>
          </cell>
        </row>
        <row r="170">
          <cell r="C170">
            <v>0</v>
          </cell>
          <cell r="G170">
            <v>221.15558795358999</v>
          </cell>
          <cell r="H170">
            <v>0</v>
          </cell>
          <cell r="I170">
            <v>0</v>
          </cell>
          <cell r="J170">
            <v>0</v>
          </cell>
          <cell r="K170">
            <v>0</v>
          </cell>
          <cell r="M170">
            <v>0</v>
          </cell>
          <cell r="N170">
            <v>2.56794231836E-3</v>
          </cell>
          <cell r="P170">
            <v>0</v>
          </cell>
          <cell r="Q170">
            <v>0</v>
          </cell>
          <cell r="R170">
            <v>-0.38935108153078002</v>
          </cell>
          <cell r="T170">
            <v>0</v>
          </cell>
          <cell r="U170">
            <v>0</v>
          </cell>
          <cell r="X170">
            <v>4.4370493621742</v>
          </cell>
          <cell r="Z170">
            <v>0</v>
          </cell>
          <cell r="AA170">
            <v>0</v>
          </cell>
          <cell r="AB170">
            <v>0</v>
          </cell>
          <cell r="AD170">
            <v>0</v>
          </cell>
          <cell r="AE170">
            <v>-57.681641708264003</v>
          </cell>
          <cell r="AJ170">
            <v>19</v>
          </cell>
          <cell r="AL170">
            <v>0</v>
          </cell>
        </row>
        <row r="171">
          <cell r="C171">
            <v>0</v>
          </cell>
          <cell r="H171">
            <v>0</v>
          </cell>
          <cell r="I171">
            <v>0</v>
          </cell>
          <cell r="J171">
            <v>0</v>
          </cell>
          <cell r="K171">
            <v>0</v>
          </cell>
          <cell r="M171">
            <v>0</v>
          </cell>
          <cell r="N171">
            <v>0</v>
          </cell>
          <cell r="O171">
            <v>0</v>
          </cell>
          <cell r="P171">
            <v>0</v>
          </cell>
          <cell r="Q171">
            <v>0</v>
          </cell>
          <cell r="R171">
            <v>-0.17082640044370001</v>
          </cell>
          <cell r="T171">
            <v>0</v>
          </cell>
          <cell r="U171">
            <v>0</v>
          </cell>
          <cell r="X171">
            <v>-25.513033832501002</v>
          </cell>
          <cell r="AA171">
            <v>0</v>
          </cell>
          <cell r="AB171">
            <v>0</v>
          </cell>
          <cell r="AD171">
            <v>0</v>
          </cell>
          <cell r="AJ171">
            <v>1</v>
          </cell>
          <cell r="AL171">
            <v>0</v>
          </cell>
        </row>
        <row r="172">
          <cell r="C172">
            <v>0</v>
          </cell>
          <cell r="D172">
            <v>0</v>
          </cell>
          <cell r="E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X172">
            <v>0</v>
          </cell>
          <cell r="Z172">
            <v>0</v>
          </cell>
          <cell r="AA172">
            <v>0</v>
          </cell>
          <cell r="AB172">
            <v>0</v>
          </cell>
          <cell r="AD172">
            <v>0</v>
          </cell>
          <cell r="AF172">
            <v>0</v>
          </cell>
          <cell r="AJ172">
            <v>-5</v>
          </cell>
          <cell r="AL172">
            <v>0</v>
          </cell>
        </row>
        <row r="173">
          <cell r="C173">
            <v>0</v>
          </cell>
          <cell r="D173">
            <v>0</v>
          </cell>
          <cell r="E173">
            <v>0</v>
          </cell>
          <cell r="G173">
            <v>0</v>
          </cell>
          <cell r="H173">
            <v>0</v>
          </cell>
          <cell r="I173">
            <v>0</v>
          </cell>
          <cell r="J173">
            <v>0</v>
          </cell>
          <cell r="K173">
            <v>0</v>
          </cell>
          <cell r="M173">
            <v>0</v>
          </cell>
          <cell r="N173">
            <v>4.9473100388000004E-4</v>
          </cell>
          <cell r="O173">
            <v>0</v>
          </cell>
          <cell r="P173">
            <v>0</v>
          </cell>
          <cell r="Q173">
            <v>0</v>
          </cell>
          <cell r="R173">
            <v>0</v>
          </cell>
          <cell r="T173">
            <v>0</v>
          </cell>
          <cell r="U173">
            <v>0</v>
          </cell>
          <cell r="X173">
            <v>0</v>
          </cell>
          <cell r="Z173">
            <v>0</v>
          </cell>
          <cell r="AA173">
            <v>0</v>
          </cell>
          <cell r="AB173">
            <v>0</v>
          </cell>
          <cell r="AD173">
            <v>0</v>
          </cell>
          <cell r="AF173">
            <v>0</v>
          </cell>
          <cell r="AJ173">
            <v>0</v>
          </cell>
          <cell r="AL173">
            <v>0</v>
          </cell>
        </row>
        <row r="174">
          <cell r="C174">
            <v>0</v>
          </cell>
          <cell r="E174">
            <v>0</v>
          </cell>
          <cell r="H174">
            <v>0</v>
          </cell>
          <cell r="I174">
            <v>0</v>
          </cell>
          <cell r="J174">
            <v>0</v>
          </cell>
          <cell r="K174">
            <v>0</v>
          </cell>
          <cell r="L174">
            <v>0</v>
          </cell>
          <cell r="M174">
            <v>0</v>
          </cell>
          <cell r="N174">
            <v>3.7671658347200002E-2</v>
          </cell>
          <cell r="O174">
            <v>0</v>
          </cell>
          <cell r="P174">
            <v>0</v>
          </cell>
          <cell r="R174">
            <v>0</v>
          </cell>
          <cell r="T174">
            <v>0</v>
          </cell>
          <cell r="U174">
            <v>0</v>
          </cell>
          <cell r="X174">
            <v>0</v>
          </cell>
          <cell r="Z174">
            <v>0</v>
          </cell>
          <cell r="AA174">
            <v>0</v>
          </cell>
          <cell r="AB174">
            <v>0</v>
          </cell>
          <cell r="AD174">
            <v>0</v>
          </cell>
          <cell r="AF174">
            <v>0</v>
          </cell>
          <cell r="AI174">
            <v>0</v>
          </cell>
          <cell r="AJ174">
            <v>0</v>
          </cell>
          <cell r="AL174">
            <v>0</v>
          </cell>
        </row>
        <row r="175">
          <cell r="C175">
            <v>0</v>
          </cell>
          <cell r="G175">
            <v>-22.360010207195</v>
          </cell>
          <cell r="H175">
            <v>0</v>
          </cell>
          <cell r="I175">
            <v>0</v>
          </cell>
          <cell r="K175">
            <v>0</v>
          </cell>
          <cell r="M175">
            <v>0</v>
          </cell>
          <cell r="N175">
            <v>0</v>
          </cell>
          <cell r="O175">
            <v>0</v>
          </cell>
          <cell r="P175">
            <v>0</v>
          </cell>
          <cell r="Q175">
            <v>0</v>
          </cell>
          <cell r="R175">
            <v>-0.38713255684969</v>
          </cell>
          <cell r="T175">
            <v>0</v>
          </cell>
          <cell r="U175">
            <v>0</v>
          </cell>
          <cell r="X175">
            <v>77.648363838047999</v>
          </cell>
          <cell r="AA175">
            <v>0</v>
          </cell>
          <cell r="AB175">
            <v>0</v>
          </cell>
          <cell r="AD175">
            <v>0</v>
          </cell>
          <cell r="AL175">
            <v>0</v>
          </cell>
        </row>
        <row r="176">
          <cell r="E176">
            <v>0</v>
          </cell>
          <cell r="G176">
            <v>0</v>
          </cell>
          <cell r="H176">
            <v>0</v>
          </cell>
          <cell r="I176">
            <v>0</v>
          </cell>
          <cell r="J176">
            <v>0</v>
          </cell>
          <cell r="K176">
            <v>0</v>
          </cell>
          <cell r="M176">
            <v>0</v>
          </cell>
          <cell r="N176">
            <v>0</v>
          </cell>
          <cell r="O176">
            <v>0</v>
          </cell>
          <cell r="P176">
            <v>0</v>
          </cell>
          <cell r="Q176">
            <v>0</v>
          </cell>
          <cell r="R176">
            <v>0</v>
          </cell>
          <cell r="T176">
            <v>0</v>
          </cell>
          <cell r="U176">
            <v>0</v>
          </cell>
          <cell r="X176">
            <v>1.1092623405435</v>
          </cell>
          <cell r="Z176">
            <v>0</v>
          </cell>
          <cell r="AA176">
            <v>0</v>
          </cell>
          <cell r="AB176">
            <v>0</v>
          </cell>
          <cell r="AD176">
            <v>0</v>
          </cell>
          <cell r="AF176">
            <v>0</v>
          </cell>
          <cell r="AI176">
            <v>0</v>
          </cell>
          <cell r="AJ176">
            <v>0</v>
          </cell>
          <cell r="AL176">
            <v>0</v>
          </cell>
        </row>
        <row r="177">
          <cell r="C177">
            <v>0</v>
          </cell>
          <cell r="G177">
            <v>3.6063096304640001</v>
          </cell>
          <cell r="H177">
            <v>0</v>
          </cell>
          <cell r="I177">
            <v>-0.44607012222321002</v>
          </cell>
          <cell r="J177">
            <v>0</v>
          </cell>
          <cell r="M177">
            <v>0</v>
          </cell>
          <cell r="N177">
            <v>8.9798114254019998E-2</v>
          </cell>
          <cell r="P177">
            <v>0</v>
          </cell>
          <cell r="Q177">
            <v>0</v>
          </cell>
          <cell r="R177">
            <v>-4.3039378813089</v>
          </cell>
          <cell r="T177">
            <v>0</v>
          </cell>
          <cell r="U177">
            <v>0</v>
          </cell>
          <cell r="X177">
            <v>9.9833610648918008</v>
          </cell>
          <cell r="AA177">
            <v>-0.47742825314307002</v>
          </cell>
          <cell r="AD177">
            <v>0</v>
          </cell>
          <cell r="AI177">
            <v>0</v>
          </cell>
          <cell r="AJ177">
            <v>67</v>
          </cell>
          <cell r="AL177">
            <v>0</v>
          </cell>
        </row>
        <row r="178">
          <cell r="C178">
            <v>0</v>
          </cell>
          <cell r="E178">
            <v>0</v>
          </cell>
          <cell r="H178">
            <v>0</v>
          </cell>
          <cell r="I178">
            <v>0</v>
          </cell>
          <cell r="J178">
            <v>0</v>
          </cell>
          <cell r="K178">
            <v>0</v>
          </cell>
          <cell r="M178">
            <v>0</v>
          </cell>
          <cell r="N178">
            <v>0</v>
          </cell>
          <cell r="O178">
            <v>0</v>
          </cell>
          <cell r="P178">
            <v>0</v>
          </cell>
          <cell r="Q178">
            <v>0</v>
          </cell>
          <cell r="R178">
            <v>-0.27731558513588001</v>
          </cell>
          <cell r="T178">
            <v>0</v>
          </cell>
          <cell r="U178">
            <v>0</v>
          </cell>
          <cell r="X178">
            <v>0</v>
          </cell>
          <cell r="Z178">
            <v>0</v>
          </cell>
          <cell r="AA178">
            <v>0</v>
          </cell>
          <cell r="AB178">
            <v>0</v>
          </cell>
          <cell r="AD178">
            <v>0</v>
          </cell>
          <cell r="AF178">
            <v>0.83043669106568996</v>
          </cell>
          <cell r="AI178">
            <v>0</v>
          </cell>
          <cell r="AL178">
            <v>0</v>
          </cell>
        </row>
        <row r="179">
          <cell r="E179">
            <v>0</v>
          </cell>
          <cell r="G179">
            <v>62.119078531760998</v>
          </cell>
          <cell r="I179">
            <v>0</v>
          </cell>
          <cell r="J179">
            <v>0.14531336661120001</v>
          </cell>
          <cell r="M179">
            <v>35.496394897393003</v>
          </cell>
          <cell r="N179">
            <v>-8.8936039933443993</v>
          </cell>
          <cell r="O179">
            <v>4.8538578909289001</v>
          </cell>
          <cell r="P179">
            <v>-0.26213989724018</v>
          </cell>
          <cell r="R179">
            <v>-215.29118136439001</v>
          </cell>
          <cell r="T179">
            <v>59.401466431095002</v>
          </cell>
          <cell r="U179">
            <v>0</v>
          </cell>
          <cell r="V179">
            <v>1021.6306156406</v>
          </cell>
          <cell r="X179">
            <v>105.37992235164</v>
          </cell>
          <cell r="Z179">
            <v>-0.74401993973438996</v>
          </cell>
          <cell r="AA179">
            <v>25.224126041059002</v>
          </cell>
          <cell r="AB179">
            <v>0</v>
          </cell>
          <cell r="AD179">
            <v>1.1536328341652999</v>
          </cell>
          <cell r="AF179">
            <v>64.180892838077</v>
          </cell>
          <cell r="AI179">
            <v>417.11229946524003</v>
          </cell>
        </row>
        <row r="180">
          <cell r="C180">
            <v>0</v>
          </cell>
          <cell r="G180">
            <v>0</v>
          </cell>
          <cell r="I180">
            <v>0</v>
          </cell>
          <cell r="J180">
            <v>0</v>
          </cell>
          <cell r="K180">
            <v>0</v>
          </cell>
          <cell r="M180">
            <v>0</v>
          </cell>
          <cell r="N180">
            <v>0</v>
          </cell>
          <cell r="O180">
            <v>0</v>
          </cell>
          <cell r="P180">
            <v>0</v>
          </cell>
          <cell r="Q180">
            <v>0</v>
          </cell>
          <cell r="R180">
            <v>0.37049362174153999</v>
          </cell>
          <cell r="T180">
            <v>0</v>
          </cell>
          <cell r="U180">
            <v>0</v>
          </cell>
          <cell r="X180">
            <v>0</v>
          </cell>
          <cell r="Z180">
            <v>0</v>
          </cell>
          <cell r="AA180">
            <v>3.8459498169858</v>
          </cell>
          <cell r="AB180">
            <v>0</v>
          </cell>
          <cell r="AD180">
            <v>0</v>
          </cell>
          <cell r="AF180">
            <v>0</v>
          </cell>
          <cell r="AI180">
            <v>29.029793735676002</v>
          </cell>
          <cell r="AJ180">
            <v>18</v>
          </cell>
          <cell r="AL180">
            <v>0</v>
          </cell>
        </row>
        <row r="181">
          <cell r="C181">
            <v>0</v>
          </cell>
          <cell r="G181">
            <v>0</v>
          </cell>
          <cell r="H181">
            <v>0</v>
          </cell>
          <cell r="I181">
            <v>0</v>
          </cell>
          <cell r="K181">
            <v>0</v>
          </cell>
          <cell r="M181">
            <v>0</v>
          </cell>
          <cell r="N181">
            <v>1.1214642262899999E-3</v>
          </cell>
          <cell r="O181">
            <v>0</v>
          </cell>
          <cell r="P181">
            <v>0</v>
          </cell>
          <cell r="Q181">
            <v>0</v>
          </cell>
          <cell r="R181">
            <v>-1.7748197448700001E-2</v>
          </cell>
          <cell r="T181">
            <v>0</v>
          </cell>
          <cell r="U181">
            <v>0</v>
          </cell>
          <cell r="X181">
            <v>0</v>
          </cell>
          <cell r="Z181">
            <v>0</v>
          </cell>
          <cell r="AA181">
            <v>0</v>
          </cell>
          <cell r="AB181">
            <v>0</v>
          </cell>
          <cell r="AD181">
            <v>0</v>
          </cell>
          <cell r="AF181">
            <v>0</v>
          </cell>
          <cell r="AI181">
            <v>0</v>
          </cell>
          <cell r="AJ181">
            <v>0</v>
          </cell>
          <cell r="AL181">
            <v>-1.109262340543E-2</v>
          </cell>
        </row>
        <row r="182">
          <cell r="E182">
            <v>0</v>
          </cell>
          <cell r="G182">
            <v>0</v>
          </cell>
          <cell r="H182">
            <v>0</v>
          </cell>
          <cell r="I182">
            <v>0</v>
          </cell>
          <cell r="J182">
            <v>0</v>
          </cell>
          <cell r="K182">
            <v>0</v>
          </cell>
          <cell r="M182">
            <v>9.9833610648918008</v>
          </cell>
          <cell r="N182">
            <v>0</v>
          </cell>
          <cell r="O182">
            <v>0</v>
          </cell>
          <cell r="P182">
            <v>0</v>
          </cell>
          <cell r="Q182">
            <v>0</v>
          </cell>
          <cell r="R182">
            <v>-19.256794231836</v>
          </cell>
          <cell r="T182">
            <v>0</v>
          </cell>
          <cell r="U182">
            <v>0</v>
          </cell>
          <cell r="X182">
            <v>0</v>
          </cell>
          <cell r="AA182">
            <v>1.2466182165402</v>
          </cell>
          <cell r="AD182">
            <v>-4.1042706600110002E-2</v>
          </cell>
          <cell r="AF182">
            <v>0</v>
          </cell>
          <cell r="AJ182">
            <v>66</v>
          </cell>
          <cell r="AL182">
            <v>0</v>
          </cell>
        </row>
        <row r="183">
          <cell r="C183">
            <v>0</v>
          </cell>
          <cell r="D183">
            <v>0</v>
          </cell>
          <cell r="E183">
            <v>0</v>
          </cell>
          <cell r="H183">
            <v>0</v>
          </cell>
          <cell r="I183">
            <v>0</v>
          </cell>
          <cell r="J183">
            <v>0</v>
          </cell>
          <cell r="K183">
            <v>0</v>
          </cell>
          <cell r="M183">
            <v>0</v>
          </cell>
          <cell r="N183">
            <v>1.8857459790000001E-5</v>
          </cell>
          <cell r="O183">
            <v>0</v>
          </cell>
          <cell r="P183">
            <v>0</v>
          </cell>
          <cell r="Q183">
            <v>0</v>
          </cell>
          <cell r="R183">
            <v>-3.8824181919019998E-2</v>
          </cell>
          <cell r="T183">
            <v>11.680388692579999</v>
          </cell>
          <cell r="U183">
            <v>0</v>
          </cell>
          <cell r="X183">
            <v>1.1092623405435</v>
          </cell>
          <cell r="Z183">
            <v>0</v>
          </cell>
          <cell r="AA183">
            <v>0</v>
          </cell>
          <cell r="AB183">
            <v>0</v>
          </cell>
          <cell r="AD183">
            <v>0</v>
          </cell>
          <cell r="AF183">
            <v>0</v>
          </cell>
          <cell r="AJ183">
            <v>0</v>
          </cell>
          <cell r="AL183">
            <v>0</v>
          </cell>
        </row>
        <row r="184">
          <cell r="G184">
            <v>0</v>
          </cell>
          <cell r="H184">
            <v>0</v>
          </cell>
          <cell r="I184">
            <v>0</v>
          </cell>
          <cell r="K184">
            <v>0</v>
          </cell>
          <cell r="M184">
            <v>25.513033832501002</v>
          </cell>
          <cell r="N184">
            <v>-12.480270660011</v>
          </cell>
          <cell r="P184">
            <v>0</v>
          </cell>
          <cell r="Q184">
            <v>0</v>
          </cell>
          <cell r="R184">
            <v>7.4409317803660997</v>
          </cell>
          <cell r="T184">
            <v>0</v>
          </cell>
          <cell r="U184">
            <v>0</v>
          </cell>
          <cell r="X184">
            <v>1.1092623405435</v>
          </cell>
          <cell r="Z184">
            <v>0</v>
          </cell>
          <cell r="AA184">
            <v>0</v>
          </cell>
          <cell r="AB184">
            <v>0</v>
          </cell>
          <cell r="AD184">
            <v>0</v>
          </cell>
          <cell r="AF184">
            <v>0</v>
          </cell>
          <cell r="AL184">
            <v>0</v>
          </cell>
        </row>
        <row r="185">
          <cell r="G185">
            <v>0</v>
          </cell>
          <cell r="H185">
            <v>0</v>
          </cell>
          <cell r="I185">
            <v>0</v>
          </cell>
          <cell r="J185">
            <v>0</v>
          </cell>
          <cell r="K185">
            <v>0</v>
          </cell>
          <cell r="M185">
            <v>-4.4370493621742</v>
          </cell>
          <cell r="N185">
            <v>1.162728785358E-2</v>
          </cell>
          <cell r="P185">
            <v>0</v>
          </cell>
          <cell r="Q185">
            <v>0</v>
          </cell>
          <cell r="R185">
            <v>-0.32057681641708002</v>
          </cell>
          <cell r="S185">
            <v>0</v>
          </cell>
          <cell r="T185">
            <v>66.707084805654006</v>
          </cell>
          <cell r="U185">
            <v>0</v>
          </cell>
          <cell r="X185">
            <v>346.08985024958002</v>
          </cell>
          <cell r="Z185">
            <v>0</v>
          </cell>
          <cell r="AA185">
            <v>0</v>
          </cell>
          <cell r="AD185">
            <v>0.38491403216860998</v>
          </cell>
          <cell r="AF185">
            <v>64.180892838077</v>
          </cell>
          <cell r="AI185">
            <v>7.6394194041252996</v>
          </cell>
          <cell r="AL185">
            <v>0.54353854686632996</v>
          </cell>
        </row>
        <row r="186">
          <cell r="C186">
            <v>111.95431662785001</v>
          </cell>
          <cell r="E186">
            <v>9.9833610648918008</v>
          </cell>
          <cell r="H186">
            <v>0.64937177245557998</v>
          </cell>
          <cell r="I186">
            <v>0</v>
          </cell>
          <cell r="J186">
            <v>0.13976705490849001</v>
          </cell>
          <cell r="M186">
            <v>4.4370493621742</v>
          </cell>
          <cell r="N186">
            <v>3.573899057127</v>
          </cell>
          <cell r="O186">
            <v>10.009599060152</v>
          </cell>
          <cell r="P186">
            <v>-0.26213989724018</v>
          </cell>
          <cell r="R186">
            <v>-203.44647809207001</v>
          </cell>
          <cell r="S186">
            <v>0.71244100318754</v>
          </cell>
          <cell r="T186">
            <v>-18.986007067138001</v>
          </cell>
          <cell r="U186">
            <v>0</v>
          </cell>
          <cell r="X186">
            <v>-244.03771491958</v>
          </cell>
          <cell r="Z186">
            <v>-0.74401993973438996</v>
          </cell>
          <cell r="AA186">
            <v>20.131558007532998</v>
          </cell>
          <cell r="AB186">
            <v>0</v>
          </cell>
          <cell r="AD186">
            <v>0.80976150859677998</v>
          </cell>
          <cell r="AI186">
            <v>378.91520244460997</v>
          </cell>
          <cell r="AJ186">
            <v>197</v>
          </cell>
          <cell r="AL186">
            <v>4.4370493621739997E-2</v>
          </cell>
        </row>
        <row r="187">
          <cell r="C187">
            <v>0</v>
          </cell>
          <cell r="D187">
            <v>0</v>
          </cell>
          <cell r="E187">
            <v>0</v>
          </cell>
          <cell r="G187">
            <v>0</v>
          </cell>
          <cell r="H187">
            <v>0</v>
          </cell>
          <cell r="I187">
            <v>0</v>
          </cell>
          <cell r="J187">
            <v>0</v>
          </cell>
          <cell r="K187">
            <v>0</v>
          </cell>
          <cell r="M187">
            <v>0</v>
          </cell>
          <cell r="N187">
            <v>0</v>
          </cell>
          <cell r="O187">
            <v>0</v>
          </cell>
          <cell r="P187">
            <v>0</v>
          </cell>
          <cell r="Q187">
            <v>0</v>
          </cell>
          <cell r="R187">
            <v>-2.3294509151410001E-2</v>
          </cell>
          <cell r="T187">
            <v>0</v>
          </cell>
          <cell r="U187">
            <v>0</v>
          </cell>
          <cell r="X187">
            <v>0</v>
          </cell>
          <cell r="Z187">
            <v>0</v>
          </cell>
          <cell r="AA187">
            <v>0</v>
          </cell>
          <cell r="AB187">
            <v>0</v>
          </cell>
          <cell r="AD187">
            <v>0</v>
          </cell>
          <cell r="AF187">
            <v>0</v>
          </cell>
          <cell r="AJ187">
            <v>0</v>
          </cell>
          <cell r="AL187">
            <v>0</v>
          </cell>
        </row>
        <row r="188">
          <cell r="E188">
            <v>-21.075984470327001</v>
          </cell>
          <cell r="G188">
            <v>0</v>
          </cell>
          <cell r="H188">
            <v>1.0906355467002999</v>
          </cell>
          <cell r="I188">
            <v>1.3382103666695999</v>
          </cell>
          <cell r="J188">
            <v>2.7864669994454001</v>
          </cell>
          <cell r="M188">
            <v>68.774265113699002</v>
          </cell>
          <cell r="N188">
            <v>1.6996150859678001</v>
          </cell>
          <cell r="O188">
            <v>-49.301009334010999</v>
          </cell>
          <cell r="P188">
            <v>0</v>
          </cell>
          <cell r="R188">
            <v>-0.63782584581252999</v>
          </cell>
          <cell r="T188">
            <v>2.1643109540599999E-3</v>
          </cell>
          <cell r="U188">
            <v>-2.2185246810871</v>
          </cell>
          <cell r="V188">
            <v>78.757626178590996</v>
          </cell>
          <cell r="X188">
            <v>18.85745978924</v>
          </cell>
          <cell r="Z188">
            <v>0</v>
          </cell>
          <cell r="AA188">
            <v>-1.9097130125723001</v>
          </cell>
          <cell r="AB188">
            <v>0</v>
          </cell>
          <cell r="AD188">
            <v>0.45036051026068002</v>
          </cell>
          <cell r="AF188">
            <v>-0.83043669106568996</v>
          </cell>
          <cell r="AI188">
            <v>123.75859434682999</v>
          </cell>
          <cell r="AJ188">
            <v>-93</v>
          </cell>
        </row>
        <row r="189">
          <cell r="G189">
            <v>0</v>
          </cell>
          <cell r="H189">
            <v>0</v>
          </cell>
          <cell r="I189">
            <v>-0.14869004074107001</v>
          </cell>
          <cell r="J189">
            <v>1.7404326123128</v>
          </cell>
          <cell r="K189">
            <v>0</v>
          </cell>
          <cell r="M189">
            <v>3.3277870216305998</v>
          </cell>
          <cell r="N189">
            <v>0.72923793677204996</v>
          </cell>
          <cell r="O189">
            <v>-0.40207884123583998</v>
          </cell>
          <cell r="P189">
            <v>0</v>
          </cell>
          <cell r="R189">
            <v>8.4303937881310007E-2</v>
          </cell>
          <cell r="T189">
            <v>0</v>
          </cell>
          <cell r="X189">
            <v>1.1092623405435</v>
          </cell>
          <cell r="Z189">
            <v>0</v>
          </cell>
          <cell r="AA189">
            <v>-2.7584743514932999</v>
          </cell>
          <cell r="AB189">
            <v>0</v>
          </cell>
          <cell r="AD189">
            <v>-8.2085413200220003E-2</v>
          </cell>
          <cell r="AF189">
            <v>0</v>
          </cell>
          <cell r="AI189">
            <v>12.223071046599999</v>
          </cell>
          <cell r="AJ189">
            <v>-3</v>
          </cell>
        </row>
        <row r="190">
          <cell r="C190">
            <v>0</v>
          </cell>
          <cell r="E190">
            <v>0</v>
          </cell>
          <cell r="G190">
            <v>0</v>
          </cell>
          <cell r="H190">
            <v>0</v>
          </cell>
          <cell r="I190">
            <v>0</v>
          </cell>
          <cell r="J190">
            <v>1.414309484193</v>
          </cell>
          <cell r="K190">
            <v>0</v>
          </cell>
          <cell r="M190">
            <v>0</v>
          </cell>
          <cell r="N190">
            <v>3.1946755408000002E-4</v>
          </cell>
          <cell r="O190">
            <v>0</v>
          </cell>
          <cell r="P190">
            <v>0</v>
          </cell>
          <cell r="Q190">
            <v>0</v>
          </cell>
          <cell r="R190">
            <v>0</v>
          </cell>
          <cell r="T190">
            <v>0</v>
          </cell>
          <cell r="X190">
            <v>0</v>
          </cell>
          <cell r="Z190">
            <v>0</v>
          </cell>
          <cell r="AA190">
            <v>0</v>
          </cell>
          <cell r="AB190">
            <v>0</v>
          </cell>
          <cell r="AD190">
            <v>0</v>
          </cell>
          <cell r="AF190">
            <v>0</v>
          </cell>
          <cell r="AI190">
            <v>0</v>
          </cell>
          <cell r="AJ190">
            <v>0</v>
          </cell>
          <cell r="AL190">
            <v>-2.2185246810869998E-2</v>
          </cell>
        </row>
        <row r="191">
          <cell r="C191">
            <v>0</v>
          </cell>
          <cell r="D191">
            <v>0</v>
          </cell>
          <cell r="G191">
            <v>0</v>
          </cell>
          <cell r="H191">
            <v>0</v>
          </cell>
          <cell r="I191">
            <v>0</v>
          </cell>
          <cell r="J191">
            <v>0.17970049916805</v>
          </cell>
          <cell r="K191">
            <v>0</v>
          </cell>
          <cell r="M191">
            <v>1.1092623405435</v>
          </cell>
          <cell r="N191">
            <v>1.665224625624E-2</v>
          </cell>
          <cell r="O191">
            <v>0</v>
          </cell>
          <cell r="P191">
            <v>0</v>
          </cell>
          <cell r="Q191">
            <v>0</v>
          </cell>
          <cell r="R191">
            <v>7.3211314475869996E-2</v>
          </cell>
          <cell r="T191">
            <v>0</v>
          </cell>
          <cell r="U191">
            <v>0</v>
          </cell>
          <cell r="X191">
            <v>0</v>
          </cell>
          <cell r="Z191">
            <v>0</v>
          </cell>
          <cell r="AA191">
            <v>0</v>
          </cell>
          <cell r="AB191">
            <v>0</v>
          </cell>
          <cell r="AD191">
            <v>-4.8807542983920003E-2</v>
          </cell>
          <cell r="AF191">
            <v>0</v>
          </cell>
          <cell r="AI191">
            <v>0</v>
          </cell>
          <cell r="AJ191">
            <v>0</v>
          </cell>
          <cell r="AL191">
            <v>5.5463117027180001E-2</v>
          </cell>
        </row>
        <row r="192">
          <cell r="C192">
            <v>0</v>
          </cell>
          <cell r="E192">
            <v>0</v>
          </cell>
          <cell r="G192">
            <v>0</v>
          </cell>
          <cell r="H192">
            <v>0</v>
          </cell>
          <cell r="I192">
            <v>0</v>
          </cell>
          <cell r="J192">
            <v>0.14864115363283001</v>
          </cell>
          <cell r="K192">
            <v>0</v>
          </cell>
          <cell r="M192">
            <v>1.1092623405435</v>
          </cell>
          <cell r="N192">
            <v>0.69774708818636</v>
          </cell>
          <cell r="P192">
            <v>0</v>
          </cell>
          <cell r="Q192">
            <v>0</v>
          </cell>
          <cell r="R192">
            <v>0</v>
          </cell>
          <cell r="T192">
            <v>0</v>
          </cell>
          <cell r="U192">
            <v>0</v>
          </cell>
          <cell r="X192">
            <v>0</v>
          </cell>
          <cell r="Z192">
            <v>0</v>
          </cell>
          <cell r="AA192">
            <v>0</v>
          </cell>
          <cell r="AB192">
            <v>0</v>
          </cell>
          <cell r="AD192">
            <v>1.10926234054E-3</v>
          </cell>
          <cell r="AF192">
            <v>0</v>
          </cell>
          <cell r="AI192">
            <v>0</v>
          </cell>
          <cell r="AJ192">
            <v>0</v>
          </cell>
          <cell r="AL192">
            <v>-4.4370493621739997E-2</v>
          </cell>
        </row>
        <row r="193">
          <cell r="E193">
            <v>0</v>
          </cell>
          <cell r="G193">
            <v>0</v>
          </cell>
          <cell r="H193">
            <v>0</v>
          </cell>
          <cell r="I193">
            <v>0</v>
          </cell>
          <cell r="K193">
            <v>0</v>
          </cell>
          <cell r="M193">
            <v>0</v>
          </cell>
          <cell r="N193">
            <v>0</v>
          </cell>
          <cell r="O193">
            <v>0</v>
          </cell>
          <cell r="P193">
            <v>0</v>
          </cell>
          <cell r="R193">
            <v>0</v>
          </cell>
          <cell r="T193">
            <v>0</v>
          </cell>
          <cell r="U193">
            <v>0</v>
          </cell>
          <cell r="X193">
            <v>0</v>
          </cell>
          <cell r="Z193">
            <v>0</v>
          </cell>
          <cell r="AA193">
            <v>0</v>
          </cell>
          <cell r="AB193">
            <v>0</v>
          </cell>
          <cell r="AD193">
            <v>-2.995008319468E-2</v>
          </cell>
          <cell r="AF193">
            <v>0</v>
          </cell>
          <cell r="AJ193">
            <v>-4</v>
          </cell>
          <cell r="AL193">
            <v>0</v>
          </cell>
        </row>
        <row r="194">
          <cell r="E194">
            <v>-1.1092623405435</v>
          </cell>
          <cell r="G194">
            <v>0</v>
          </cell>
          <cell r="H194">
            <v>0</v>
          </cell>
          <cell r="I194">
            <v>0</v>
          </cell>
          <cell r="J194">
            <v>0</v>
          </cell>
          <cell r="K194">
            <v>0</v>
          </cell>
          <cell r="M194">
            <v>1.1092623405435</v>
          </cell>
          <cell r="N194">
            <v>8.6711037160300004E-3</v>
          </cell>
          <cell r="P194">
            <v>0</v>
          </cell>
          <cell r="Q194">
            <v>0</v>
          </cell>
          <cell r="R194">
            <v>9.9833610648899992E-3</v>
          </cell>
          <cell r="T194">
            <v>0</v>
          </cell>
          <cell r="U194">
            <v>0</v>
          </cell>
          <cell r="X194">
            <v>0</v>
          </cell>
          <cell r="Z194">
            <v>0</v>
          </cell>
          <cell r="AA194">
            <v>-2.7584743514932999</v>
          </cell>
          <cell r="AB194">
            <v>0</v>
          </cell>
          <cell r="AD194">
            <v>-4.4370493621699999E-3</v>
          </cell>
          <cell r="AF194">
            <v>0</v>
          </cell>
          <cell r="AJ194">
            <v>1</v>
          </cell>
          <cell r="AL194">
            <v>-0.17748197448697001</v>
          </cell>
        </row>
        <row r="195">
          <cell r="C195">
            <v>0</v>
          </cell>
          <cell r="D195">
            <v>0</v>
          </cell>
          <cell r="E195">
            <v>0</v>
          </cell>
          <cell r="G195">
            <v>0</v>
          </cell>
          <cell r="H195">
            <v>0</v>
          </cell>
          <cell r="I195">
            <v>0</v>
          </cell>
          <cell r="J195">
            <v>1.109262340544E-2</v>
          </cell>
          <cell r="K195">
            <v>0</v>
          </cell>
          <cell r="L195">
            <v>0</v>
          </cell>
          <cell r="M195">
            <v>0</v>
          </cell>
          <cell r="N195">
            <v>5.8480310593499998E-3</v>
          </cell>
          <cell r="O195">
            <v>0</v>
          </cell>
          <cell r="P195">
            <v>0</v>
          </cell>
          <cell r="Q195">
            <v>0</v>
          </cell>
          <cell r="R195">
            <v>0</v>
          </cell>
          <cell r="T195">
            <v>0</v>
          </cell>
          <cell r="U195">
            <v>0</v>
          </cell>
          <cell r="X195">
            <v>0</v>
          </cell>
          <cell r="Z195">
            <v>0</v>
          </cell>
          <cell r="AA195">
            <v>0</v>
          </cell>
          <cell r="AB195">
            <v>0</v>
          </cell>
          <cell r="AD195">
            <v>0</v>
          </cell>
          <cell r="AF195">
            <v>0</v>
          </cell>
          <cell r="AI195">
            <v>0</v>
          </cell>
          <cell r="AL195">
            <v>0</v>
          </cell>
        </row>
        <row r="196">
          <cell r="C196">
            <v>0</v>
          </cell>
          <cell r="E196">
            <v>0</v>
          </cell>
          <cell r="G196">
            <v>0</v>
          </cell>
          <cell r="H196">
            <v>0</v>
          </cell>
          <cell r="I196">
            <v>0</v>
          </cell>
          <cell r="J196">
            <v>0</v>
          </cell>
          <cell r="K196">
            <v>0</v>
          </cell>
          <cell r="M196">
            <v>0</v>
          </cell>
          <cell r="N196">
            <v>0</v>
          </cell>
          <cell r="P196">
            <v>0</v>
          </cell>
          <cell r="Q196">
            <v>0</v>
          </cell>
          <cell r="R196">
            <v>0</v>
          </cell>
          <cell r="T196">
            <v>0</v>
          </cell>
          <cell r="U196">
            <v>0</v>
          </cell>
          <cell r="X196">
            <v>0</v>
          </cell>
          <cell r="Z196">
            <v>0</v>
          </cell>
          <cell r="AA196">
            <v>0</v>
          </cell>
          <cell r="AB196">
            <v>0</v>
          </cell>
          <cell r="AD196">
            <v>0</v>
          </cell>
          <cell r="AF196">
            <v>0</v>
          </cell>
          <cell r="AI196">
            <v>0</v>
          </cell>
          <cell r="AJ196">
            <v>0</v>
          </cell>
          <cell r="AL196">
            <v>0</v>
          </cell>
        </row>
        <row r="197">
          <cell r="C197">
            <v>0</v>
          </cell>
          <cell r="D197">
            <v>0</v>
          </cell>
          <cell r="E197">
            <v>0</v>
          </cell>
          <cell r="G197">
            <v>0</v>
          </cell>
          <cell r="H197">
            <v>0</v>
          </cell>
          <cell r="I197">
            <v>0</v>
          </cell>
          <cell r="J197">
            <v>0</v>
          </cell>
          <cell r="K197">
            <v>0</v>
          </cell>
          <cell r="M197">
            <v>0</v>
          </cell>
          <cell r="N197">
            <v>0</v>
          </cell>
          <cell r="O197">
            <v>0</v>
          </cell>
          <cell r="P197">
            <v>3.0927554144499999E-3</v>
          </cell>
          <cell r="Q197">
            <v>0</v>
          </cell>
          <cell r="R197">
            <v>0</v>
          </cell>
          <cell r="T197">
            <v>0</v>
          </cell>
          <cell r="U197">
            <v>0</v>
          </cell>
          <cell r="X197">
            <v>0</v>
          </cell>
          <cell r="Z197">
            <v>0</v>
          </cell>
          <cell r="AA197">
            <v>0</v>
          </cell>
          <cell r="AB197">
            <v>0</v>
          </cell>
          <cell r="AD197">
            <v>0</v>
          </cell>
          <cell r="AF197">
            <v>0</v>
          </cell>
          <cell r="AI197">
            <v>0</v>
          </cell>
          <cell r="AJ197">
            <v>0</v>
          </cell>
          <cell r="AL197">
            <v>0</v>
          </cell>
        </row>
        <row r="198">
          <cell r="C198">
            <v>0</v>
          </cell>
          <cell r="D198">
            <v>0</v>
          </cell>
          <cell r="E198">
            <v>0</v>
          </cell>
          <cell r="G198">
            <v>0</v>
          </cell>
          <cell r="H198">
            <v>0</v>
          </cell>
          <cell r="I198">
            <v>0</v>
          </cell>
          <cell r="J198">
            <v>0</v>
          </cell>
          <cell r="K198">
            <v>0</v>
          </cell>
          <cell r="M198">
            <v>0</v>
          </cell>
          <cell r="N198">
            <v>0</v>
          </cell>
          <cell r="O198">
            <v>0</v>
          </cell>
          <cell r="P198">
            <v>0</v>
          </cell>
          <cell r="Q198">
            <v>0</v>
          </cell>
          <cell r="R198">
            <v>-1.663893510815E-2</v>
          </cell>
          <cell r="T198">
            <v>0</v>
          </cell>
          <cell r="U198">
            <v>0</v>
          </cell>
          <cell r="X198">
            <v>2.2185246810871</v>
          </cell>
          <cell r="Z198">
            <v>0</v>
          </cell>
          <cell r="AA198">
            <v>0</v>
          </cell>
          <cell r="AB198">
            <v>0</v>
          </cell>
          <cell r="AD198">
            <v>0</v>
          </cell>
          <cell r="AF198">
            <v>0</v>
          </cell>
          <cell r="AJ198">
            <v>0</v>
          </cell>
          <cell r="AL198">
            <v>0</v>
          </cell>
        </row>
        <row r="199">
          <cell r="C199">
            <v>0</v>
          </cell>
          <cell r="D199">
            <v>0</v>
          </cell>
          <cell r="E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X199">
            <v>0</v>
          </cell>
          <cell r="Z199">
            <v>0</v>
          </cell>
          <cell r="AA199">
            <v>0</v>
          </cell>
          <cell r="AB199">
            <v>0</v>
          </cell>
          <cell r="AD199">
            <v>0</v>
          </cell>
          <cell r="AF199">
            <v>0</v>
          </cell>
          <cell r="AI199">
            <v>0</v>
          </cell>
          <cell r="AJ199">
            <v>0</v>
          </cell>
          <cell r="AL199">
            <v>0</v>
          </cell>
        </row>
        <row r="200">
          <cell r="C200">
            <v>0</v>
          </cell>
          <cell r="E200">
            <v>0</v>
          </cell>
          <cell r="G200">
            <v>0</v>
          </cell>
          <cell r="H200">
            <v>0</v>
          </cell>
          <cell r="I200">
            <v>0</v>
          </cell>
          <cell r="J200">
            <v>0</v>
          </cell>
          <cell r="K200">
            <v>0</v>
          </cell>
          <cell r="M200">
            <v>0</v>
          </cell>
          <cell r="N200">
            <v>6.0421519689400002E-3</v>
          </cell>
          <cell r="O200">
            <v>0</v>
          </cell>
          <cell r="P200">
            <v>0</v>
          </cell>
          <cell r="Q200">
            <v>0</v>
          </cell>
          <cell r="R200">
            <v>-0.19301164725458</v>
          </cell>
          <cell r="T200">
            <v>0</v>
          </cell>
          <cell r="U200">
            <v>0</v>
          </cell>
          <cell r="X200">
            <v>0</v>
          </cell>
          <cell r="Z200">
            <v>0</v>
          </cell>
          <cell r="AA200">
            <v>0</v>
          </cell>
          <cell r="AB200">
            <v>0</v>
          </cell>
          <cell r="AD200">
            <v>0</v>
          </cell>
          <cell r="AF200">
            <v>0</v>
          </cell>
          <cell r="AJ200">
            <v>0</v>
          </cell>
          <cell r="AL200">
            <v>0</v>
          </cell>
        </row>
        <row r="201">
          <cell r="C201">
            <v>0</v>
          </cell>
          <cell r="G201">
            <v>0</v>
          </cell>
          <cell r="H201">
            <v>0.20757939251006</v>
          </cell>
          <cell r="I201">
            <v>0</v>
          </cell>
          <cell r="J201">
            <v>0</v>
          </cell>
          <cell r="K201">
            <v>0</v>
          </cell>
          <cell r="M201">
            <v>-4.4370493621742</v>
          </cell>
          <cell r="N201">
            <v>4.9195784803100001E-3</v>
          </cell>
          <cell r="O201">
            <v>0</v>
          </cell>
          <cell r="P201">
            <v>0</v>
          </cell>
          <cell r="Q201">
            <v>0</v>
          </cell>
          <cell r="R201">
            <v>0</v>
          </cell>
          <cell r="T201">
            <v>0</v>
          </cell>
          <cell r="U201">
            <v>0</v>
          </cell>
          <cell r="X201">
            <v>0</v>
          </cell>
          <cell r="Z201">
            <v>0</v>
          </cell>
          <cell r="AA201">
            <v>0</v>
          </cell>
          <cell r="AB201">
            <v>0</v>
          </cell>
          <cell r="AD201">
            <v>0</v>
          </cell>
          <cell r="AF201">
            <v>0</v>
          </cell>
          <cell r="AI201">
            <v>0</v>
          </cell>
          <cell r="AJ201">
            <v>0</v>
          </cell>
          <cell r="AL201">
            <v>0</v>
          </cell>
        </row>
        <row r="202">
          <cell r="C202">
            <v>28.552107596363001</v>
          </cell>
          <cell r="E202">
            <v>-63.227953410982003</v>
          </cell>
          <cell r="H202">
            <v>-4.3962103037449998</v>
          </cell>
          <cell r="I202">
            <v>17.842804888928999</v>
          </cell>
          <cell r="J202">
            <v>0.21186910704382</v>
          </cell>
          <cell r="L202">
            <v>-11.092623405435001</v>
          </cell>
          <cell r="M202">
            <v>122.01885745979</v>
          </cell>
          <cell r="N202">
            <v>0.35828397115917998</v>
          </cell>
          <cell r="O202">
            <v>12.797481321232</v>
          </cell>
          <cell r="P202">
            <v>-0.18377726104108</v>
          </cell>
          <cell r="R202">
            <v>-1.6039933444259999</v>
          </cell>
          <cell r="S202">
            <v>36.368013484041001</v>
          </cell>
          <cell r="T202">
            <v>4.2992667844522998</v>
          </cell>
          <cell r="U202">
            <v>0</v>
          </cell>
          <cell r="X202">
            <v>714.36494731003995</v>
          </cell>
          <cell r="Z202">
            <v>17.608471907047001</v>
          </cell>
          <cell r="AA202">
            <v>-2.3340936820328002</v>
          </cell>
          <cell r="AD202">
            <v>0.14531336661120001</v>
          </cell>
          <cell r="AF202">
            <v>861.04421482211001</v>
          </cell>
          <cell r="AI202">
            <v>161.95569136745999</v>
          </cell>
          <cell r="AJ202">
            <v>691</v>
          </cell>
          <cell r="AL202">
            <v>0.21075984470327</v>
          </cell>
        </row>
        <row r="203">
          <cell r="C203">
            <v>833.27071906229003</v>
          </cell>
          <cell r="E203">
            <v>76.539101497504006</v>
          </cell>
          <cell r="H203">
            <v>-53.881145041271999</v>
          </cell>
          <cell r="I203">
            <v>26.764207333392999</v>
          </cell>
          <cell r="J203">
            <v>-5.3555185801442002</v>
          </cell>
          <cell r="K203">
            <v>0</v>
          </cell>
          <cell r="L203">
            <v>104.27066001109</v>
          </cell>
          <cell r="M203">
            <v>3.3277870216305998</v>
          </cell>
          <cell r="N203">
            <v>26.354916250693002</v>
          </cell>
          <cell r="O203">
            <v>-33.982707364771002</v>
          </cell>
          <cell r="P203">
            <v>0.48845487039770003</v>
          </cell>
          <cell r="R203">
            <v>-4.5768164170825996</v>
          </cell>
          <cell r="S203">
            <v>476.76755313742001</v>
          </cell>
          <cell r="T203">
            <v>35.044284452296999</v>
          </cell>
          <cell r="U203">
            <v>1.1092623405435</v>
          </cell>
          <cell r="X203">
            <v>184.13754853022999</v>
          </cell>
          <cell r="Y203">
            <v>158.59203737275001</v>
          </cell>
          <cell r="Z203">
            <v>-30.876827498977001</v>
          </cell>
          <cell r="AA203">
            <v>9.8138029812742005</v>
          </cell>
          <cell r="AD203">
            <v>-3.5840266222962001</v>
          </cell>
          <cell r="AF203">
            <v>-5.9316906504692</v>
          </cell>
          <cell r="AI203">
            <v>1944.9961802902999</v>
          </cell>
          <cell r="AJ203">
            <v>-286</v>
          </cell>
          <cell r="AL203">
            <v>0.22185246810871001</v>
          </cell>
        </row>
        <row r="204">
          <cell r="E204">
            <v>-23.294509151414001</v>
          </cell>
          <cell r="H204">
            <v>-14.542064815191001</v>
          </cell>
          <cell r="I204">
            <v>0.74345020370535997</v>
          </cell>
          <cell r="J204">
            <v>0.73655019412091005</v>
          </cell>
          <cell r="L204">
            <v>-2.2185246810871</v>
          </cell>
          <cell r="M204">
            <v>-38.824181919023999</v>
          </cell>
          <cell r="N204">
            <v>0</v>
          </cell>
          <cell r="O204">
            <v>38.869778720173002</v>
          </cell>
          <cell r="P204">
            <v>0</v>
          </cell>
          <cell r="Q204">
            <v>0</v>
          </cell>
          <cell r="R204">
            <v>-5.3954520244037996</v>
          </cell>
          <cell r="S204">
            <v>3.8830584212036001</v>
          </cell>
          <cell r="T204">
            <v>-37.827800353356999</v>
          </cell>
          <cell r="U204">
            <v>0</v>
          </cell>
          <cell r="X204">
            <v>77.648363838047999</v>
          </cell>
          <cell r="Z204">
            <v>0</v>
          </cell>
          <cell r="AA204">
            <v>10.211659858893</v>
          </cell>
          <cell r="AD204">
            <v>-1.331114808652E-2</v>
          </cell>
          <cell r="AF204">
            <v>-1.1863381300938001</v>
          </cell>
          <cell r="AI204">
            <v>1184.1100076394</v>
          </cell>
          <cell r="AJ204">
            <v>477</v>
          </cell>
          <cell r="AL204">
            <v>2.2185246810869998E-2</v>
          </cell>
        </row>
        <row r="205">
          <cell r="E205">
            <v>-8.8740987243483005</v>
          </cell>
          <cell r="G205">
            <v>0</v>
          </cell>
          <cell r="H205">
            <v>0</v>
          </cell>
          <cell r="I205">
            <v>-0.74345020370535997</v>
          </cell>
          <cell r="K205">
            <v>0</v>
          </cell>
          <cell r="L205">
            <v>0</v>
          </cell>
          <cell r="M205">
            <v>0</v>
          </cell>
          <cell r="N205">
            <v>0</v>
          </cell>
          <cell r="O205">
            <v>0</v>
          </cell>
          <cell r="P205">
            <v>0</v>
          </cell>
          <cell r="Q205">
            <v>0</v>
          </cell>
          <cell r="R205">
            <v>5.3244592346089997E-2</v>
          </cell>
          <cell r="S205">
            <v>1.8430558757974</v>
          </cell>
          <cell r="T205">
            <v>5.9337455830389997E-2</v>
          </cell>
          <cell r="U205">
            <v>0</v>
          </cell>
          <cell r="X205">
            <v>-49.916805324458998</v>
          </cell>
          <cell r="Z205">
            <v>0</v>
          </cell>
          <cell r="AA205">
            <v>0</v>
          </cell>
          <cell r="AB205">
            <v>0</v>
          </cell>
          <cell r="AD205">
            <v>0</v>
          </cell>
          <cell r="AJ205">
            <v>20</v>
          </cell>
          <cell r="AL205">
            <v>0</v>
          </cell>
        </row>
        <row r="206">
          <cell r="C206">
            <v>0</v>
          </cell>
          <cell r="G206">
            <v>0</v>
          </cell>
          <cell r="H206">
            <v>0</v>
          </cell>
          <cell r="I206">
            <v>0</v>
          </cell>
          <cell r="J206">
            <v>0</v>
          </cell>
          <cell r="K206">
            <v>0</v>
          </cell>
          <cell r="M206">
            <v>51.026067665002998</v>
          </cell>
          <cell r="N206">
            <v>0</v>
          </cell>
          <cell r="P206">
            <v>0</v>
          </cell>
          <cell r="Q206">
            <v>0</v>
          </cell>
          <cell r="R206">
            <v>9.317803660566E-2</v>
          </cell>
          <cell r="S206">
            <v>0</v>
          </cell>
          <cell r="T206">
            <v>0</v>
          </cell>
          <cell r="U206">
            <v>0</v>
          </cell>
          <cell r="X206">
            <v>1.1092623405435</v>
          </cell>
          <cell r="Z206">
            <v>0</v>
          </cell>
          <cell r="AA206">
            <v>0</v>
          </cell>
          <cell r="AB206">
            <v>0</v>
          </cell>
          <cell r="AD206">
            <v>0</v>
          </cell>
          <cell r="AF206">
            <v>0</v>
          </cell>
          <cell r="AJ206">
            <v>0</v>
          </cell>
          <cell r="AL206">
            <v>-4.4370493621739997E-2</v>
          </cell>
        </row>
        <row r="207">
          <cell r="C207">
            <v>0</v>
          </cell>
          <cell r="E207">
            <v>-1.1092623405435</v>
          </cell>
          <cell r="G207">
            <v>0</v>
          </cell>
          <cell r="I207">
            <v>0.59476016296428003</v>
          </cell>
          <cell r="J207">
            <v>1.7670549084859</v>
          </cell>
          <cell r="K207">
            <v>0</v>
          </cell>
          <cell r="M207">
            <v>1.1092623405435</v>
          </cell>
          <cell r="N207">
            <v>4.3261231280999999E-4</v>
          </cell>
          <cell r="O207">
            <v>20.740173499430998</v>
          </cell>
          <cell r="P207">
            <v>0</v>
          </cell>
          <cell r="Q207">
            <v>0</v>
          </cell>
          <cell r="R207">
            <v>-0.15973377703826999</v>
          </cell>
          <cell r="T207">
            <v>0</v>
          </cell>
          <cell r="U207">
            <v>1.1092623405435</v>
          </cell>
          <cell r="X207">
            <v>-19.966722129783999</v>
          </cell>
          <cell r="Z207">
            <v>0</v>
          </cell>
          <cell r="AA207">
            <v>0</v>
          </cell>
          <cell r="AB207">
            <v>0</v>
          </cell>
          <cell r="AD207">
            <v>-2.3294509151410001E-2</v>
          </cell>
          <cell r="AF207">
            <v>-0.23726762601876999</v>
          </cell>
          <cell r="AI207">
            <v>0</v>
          </cell>
          <cell r="AJ207">
            <v>0</v>
          </cell>
        </row>
        <row r="208">
          <cell r="C208">
            <v>0</v>
          </cell>
          <cell r="E208">
            <v>0</v>
          </cell>
          <cell r="G208">
            <v>0</v>
          </cell>
          <cell r="H208">
            <v>0</v>
          </cell>
          <cell r="I208">
            <v>0</v>
          </cell>
          <cell r="K208">
            <v>0</v>
          </cell>
          <cell r="M208">
            <v>2.2185246810871</v>
          </cell>
          <cell r="N208">
            <v>0</v>
          </cell>
          <cell r="O208">
            <v>0</v>
          </cell>
          <cell r="P208">
            <v>0</v>
          </cell>
          <cell r="Q208">
            <v>0</v>
          </cell>
          <cell r="R208">
            <v>-5.5463117027200002E-3</v>
          </cell>
          <cell r="T208">
            <v>0</v>
          </cell>
          <cell r="U208">
            <v>0</v>
          </cell>
          <cell r="X208">
            <v>0</v>
          </cell>
          <cell r="Z208">
            <v>0</v>
          </cell>
          <cell r="AA208">
            <v>0</v>
          </cell>
          <cell r="AB208">
            <v>0</v>
          </cell>
          <cell r="AD208">
            <v>-6.9883527454239994E-2</v>
          </cell>
          <cell r="AF208">
            <v>0</v>
          </cell>
          <cell r="AI208">
            <v>0</v>
          </cell>
          <cell r="AJ208">
            <v>0</v>
          </cell>
          <cell r="AL208">
            <v>0</v>
          </cell>
        </row>
        <row r="209">
          <cell r="C209">
            <v>0</v>
          </cell>
          <cell r="D209">
            <v>0</v>
          </cell>
          <cell r="E209">
            <v>0</v>
          </cell>
          <cell r="G209">
            <v>0</v>
          </cell>
          <cell r="H209">
            <v>0</v>
          </cell>
          <cell r="I209">
            <v>0</v>
          </cell>
          <cell r="J209">
            <v>0</v>
          </cell>
          <cell r="K209">
            <v>0</v>
          </cell>
          <cell r="L209">
            <v>0</v>
          </cell>
          <cell r="M209">
            <v>0</v>
          </cell>
          <cell r="N209">
            <v>1.8951747088189998E-2</v>
          </cell>
          <cell r="O209">
            <v>0</v>
          </cell>
          <cell r="P209">
            <v>0</v>
          </cell>
          <cell r="Q209">
            <v>0</v>
          </cell>
          <cell r="R209">
            <v>0</v>
          </cell>
          <cell r="T209">
            <v>0</v>
          </cell>
          <cell r="U209">
            <v>0</v>
          </cell>
          <cell r="X209">
            <v>0</v>
          </cell>
          <cell r="Z209">
            <v>0</v>
          </cell>
          <cell r="AA209">
            <v>0</v>
          </cell>
          <cell r="AB209">
            <v>0</v>
          </cell>
          <cell r="AD209">
            <v>0</v>
          </cell>
          <cell r="AF209">
            <v>0</v>
          </cell>
          <cell r="AI209">
            <v>0</v>
          </cell>
          <cell r="AJ209">
            <v>0</v>
          </cell>
          <cell r="AL209">
            <v>0</v>
          </cell>
        </row>
        <row r="210">
          <cell r="C210">
            <v>0</v>
          </cell>
          <cell r="D210">
            <v>0</v>
          </cell>
          <cell r="E210">
            <v>0</v>
          </cell>
          <cell r="G210">
            <v>0</v>
          </cell>
          <cell r="H210">
            <v>0</v>
          </cell>
          <cell r="I210">
            <v>0</v>
          </cell>
          <cell r="J210">
            <v>0</v>
          </cell>
          <cell r="K210">
            <v>0</v>
          </cell>
          <cell r="M210">
            <v>0</v>
          </cell>
          <cell r="N210">
            <v>2.6400443705000001E-4</v>
          </cell>
          <cell r="O210">
            <v>0</v>
          </cell>
          <cell r="P210">
            <v>0</v>
          </cell>
          <cell r="Q210">
            <v>0</v>
          </cell>
          <cell r="R210">
            <v>0</v>
          </cell>
          <cell r="T210">
            <v>0</v>
          </cell>
          <cell r="U210">
            <v>0</v>
          </cell>
          <cell r="X210">
            <v>37.71491957848</v>
          </cell>
          <cell r="Z210">
            <v>0</v>
          </cell>
          <cell r="AA210">
            <v>0</v>
          </cell>
          <cell r="AB210">
            <v>0</v>
          </cell>
          <cell r="AD210">
            <v>0</v>
          </cell>
          <cell r="AF210">
            <v>0</v>
          </cell>
          <cell r="AI210">
            <v>0</v>
          </cell>
          <cell r="AJ210">
            <v>0</v>
          </cell>
          <cell r="AL210">
            <v>0</v>
          </cell>
        </row>
        <row r="211">
          <cell r="C211">
            <v>0</v>
          </cell>
          <cell r="G211">
            <v>0</v>
          </cell>
          <cell r="H211">
            <v>0</v>
          </cell>
          <cell r="I211">
            <v>0</v>
          </cell>
          <cell r="J211">
            <v>0</v>
          </cell>
          <cell r="K211">
            <v>0</v>
          </cell>
          <cell r="M211">
            <v>0</v>
          </cell>
          <cell r="N211">
            <v>9.27787021631E-3</v>
          </cell>
          <cell r="O211">
            <v>0</v>
          </cell>
          <cell r="P211">
            <v>0</v>
          </cell>
          <cell r="R211">
            <v>-5.4353854686630003E-2</v>
          </cell>
          <cell r="T211">
            <v>0</v>
          </cell>
          <cell r="U211">
            <v>0</v>
          </cell>
          <cell r="X211">
            <v>0</v>
          </cell>
          <cell r="AA211">
            <v>0</v>
          </cell>
          <cell r="AD211">
            <v>0</v>
          </cell>
          <cell r="AF211">
            <v>0</v>
          </cell>
          <cell r="AI211">
            <v>0</v>
          </cell>
          <cell r="AJ211">
            <v>0</v>
          </cell>
          <cell r="AL211">
            <v>0</v>
          </cell>
        </row>
        <row r="212">
          <cell r="C212">
            <v>413.25418889473002</v>
          </cell>
          <cell r="E212">
            <v>-5.5463117027177002</v>
          </cell>
          <cell r="I212">
            <v>48.919023403811998</v>
          </cell>
          <cell r="K212">
            <v>0</v>
          </cell>
          <cell r="M212">
            <v>31.059345535218998</v>
          </cell>
          <cell r="N212">
            <v>6.1785912367999995E-4</v>
          </cell>
          <cell r="O212">
            <v>1.6656088597893</v>
          </cell>
          <cell r="P212">
            <v>0</v>
          </cell>
          <cell r="Q212">
            <v>0</v>
          </cell>
          <cell r="R212">
            <v>-0.30615640599001998</v>
          </cell>
          <cell r="S212">
            <v>27.613582551737</v>
          </cell>
          <cell r="T212">
            <v>57.163515901060002</v>
          </cell>
          <cell r="U212">
            <v>0</v>
          </cell>
          <cell r="X212">
            <v>55.463117027176999</v>
          </cell>
          <cell r="Z212">
            <v>78.246096995399</v>
          </cell>
          <cell r="AA212">
            <v>1.0079040899687</v>
          </cell>
          <cell r="AB212">
            <v>0</v>
          </cell>
          <cell r="AD212">
            <v>0</v>
          </cell>
          <cell r="AI212">
            <v>174.17876241406</v>
          </cell>
          <cell r="AJ212">
            <v>0</v>
          </cell>
        </row>
        <row r="213">
          <cell r="C213">
            <v>0</v>
          </cell>
          <cell r="D213">
            <v>0</v>
          </cell>
          <cell r="E213">
            <v>0</v>
          </cell>
          <cell r="G213">
            <v>0</v>
          </cell>
          <cell r="H213">
            <v>0</v>
          </cell>
          <cell r="I213">
            <v>0</v>
          </cell>
          <cell r="J213">
            <v>0</v>
          </cell>
          <cell r="K213">
            <v>0</v>
          </cell>
          <cell r="L213">
            <v>0</v>
          </cell>
          <cell r="M213">
            <v>0</v>
          </cell>
          <cell r="N213">
            <v>5.9234608985000005E-4</v>
          </cell>
          <cell r="O213">
            <v>0</v>
          </cell>
          <cell r="P213">
            <v>0</v>
          </cell>
          <cell r="Q213">
            <v>0</v>
          </cell>
          <cell r="R213">
            <v>0</v>
          </cell>
          <cell r="T213">
            <v>0</v>
          </cell>
          <cell r="U213">
            <v>0</v>
          </cell>
          <cell r="X213">
            <v>0</v>
          </cell>
          <cell r="Z213">
            <v>0</v>
          </cell>
          <cell r="AA213">
            <v>0</v>
          </cell>
          <cell r="AB213">
            <v>0</v>
          </cell>
          <cell r="AD213">
            <v>0</v>
          </cell>
          <cell r="AF213">
            <v>0</v>
          </cell>
          <cell r="AJ213">
            <v>0</v>
          </cell>
          <cell r="AL213">
            <v>0</v>
          </cell>
        </row>
        <row r="214">
          <cell r="C214">
            <v>0</v>
          </cell>
          <cell r="G214">
            <v>0</v>
          </cell>
          <cell r="H214">
            <v>0</v>
          </cell>
          <cell r="I214">
            <v>0</v>
          </cell>
          <cell r="J214">
            <v>0</v>
          </cell>
          <cell r="K214">
            <v>0</v>
          </cell>
          <cell r="M214">
            <v>-2.2185246810871</v>
          </cell>
          <cell r="N214">
            <v>1.14586799778E-3</v>
          </cell>
          <cell r="O214">
            <v>0</v>
          </cell>
          <cell r="P214">
            <v>0</v>
          </cell>
          <cell r="Q214">
            <v>0</v>
          </cell>
          <cell r="R214">
            <v>0</v>
          </cell>
          <cell r="T214">
            <v>0</v>
          </cell>
          <cell r="U214">
            <v>0</v>
          </cell>
          <cell r="X214">
            <v>0</v>
          </cell>
          <cell r="Z214">
            <v>0</v>
          </cell>
          <cell r="AA214">
            <v>0</v>
          </cell>
          <cell r="AB214">
            <v>0</v>
          </cell>
          <cell r="AD214">
            <v>0</v>
          </cell>
          <cell r="AF214">
            <v>0</v>
          </cell>
          <cell r="AI214">
            <v>0</v>
          </cell>
          <cell r="AJ214">
            <v>0</v>
          </cell>
          <cell r="AL214">
            <v>0</v>
          </cell>
        </row>
        <row r="215">
          <cell r="C215">
            <v>0</v>
          </cell>
          <cell r="D215">
            <v>0</v>
          </cell>
          <cell r="G215">
            <v>0</v>
          </cell>
          <cell r="H215">
            <v>0</v>
          </cell>
          <cell r="I215">
            <v>0</v>
          </cell>
          <cell r="J215">
            <v>0</v>
          </cell>
          <cell r="K215">
            <v>0</v>
          </cell>
          <cell r="M215">
            <v>0</v>
          </cell>
          <cell r="N215">
            <v>0</v>
          </cell>
          <cell r="O215">
            <v>0</v>
          </cell>
          <cell r="P215">
            <v>0</v>
          </cell>
          <cell r="Q215">
            <v>0</v>
          </cell>
          <cell r="R215">
            <v>-3.3277870216299999E-3</v>
          </cell>
          <cell r="T215">
            <v>0</v>
          </cell>
          <cell r="U215">
            <v>0</v>
          </cell>
          <cell r="X215">
            <v>0</v>
          </cell>
          <cell r="Z215">
            <v>0</v>
          </cell>
          <cell r="AA215">
            <v>0</v>
          </cell>
          <cell r="AB215">
            <v>0</v>
          </cell>
          <cell r="AD215">
            <v>0</v>
          </cell>
          <cell r="AF215">
            <v>0</v>
          </cell>
          <cell r="AI215">
            <v>0</v>
          </cell>
          <cell r="AL215">
            <v>0</v>
          </cell>
        </row>
        <row r="216">
          <cell r="C216">
            <v>0</v>
          </cell>
          <cell r="D216">
            <v>0</v>
          </cell>
          <cell r="E216">
            <v>0</v>
          </cell>
          <cell r="G216">
            <v>0</v>
          </cell>
          <cell r="H216">
            <v>0</v>
          </cell>
          <cell r="I216">
            <v>0</v>
          </cell>
          <cell r="J216">
            <v>0</v>
          </cell>
          <cell r="K216">
            <v>0</v>
          </cell>
          <cell r="L216">
            <v>0</v>
          </cell>
          <cell r="M216">
            <v>0</v>
          </cell>
          <cell r="N216">
            <v>3.9467554076500003E-3</v>
          </cell>
          <cell r="O216">
            <v>0</v>
          </cell>
          <cell r="P216">
            <v>0</v>
          </cell>
          <cell r="Q216">
            <v>0</v>
          </cell>
          <cell r="R216">
            <v>0</v>
          </cell>
          <cell r="T216">
            <v>0</v>
          </cell>
          <cell r="U216">
            <v>0</v>
          </cell>
          <cell r="X216">
            <v>0</v>
          </cell>
          <cell r="AA216">
            <v>0</v>
          </cell>
          <cell r="AB216">
            <v>0</v>
          </cell>
          <cell r="AD216">
            <v>0</v>
          </cell>
          <cell r="AF216">
            <v>0</v>
          </cell>
          <cell r="AI216">
            <v>0</v>
          </cell>
          <cell r="AJ216">
            <v>0</v>
          </cell>
          <cell r="AL216">
            <v>-0.14420410427065999</v>
          </cell>
        </row>
        <row r="217">
          <cell r="C217">
            <v>0</v>
          </cell>
          <cell r="G217">
            <v>0</v>
          </cell>
          <cell r="H217">
            <v>0</v>
          </cell>
          <cell r="I217">
            <v>0</v>
          </cell>
          <cell r="J217">
            <v>0</v>
          </cell>
          <cell r="K217">
            <v>0</v>
          </cell>
          <cell r="M217">
            <v>1.1092623405435</v>
          </cell>
          <cell r="N217">
            <v>0</v>
          </cell>
          <cell r="O217">
            <v>0</v>
          </cell>
          <cell r="P217">
            <v>0</v>
          </cell>
          <cell r="Q217">
            <v>0</v>
          </cell>
          <cell r="R217">
            <v>-4.7698280643369999E-2</v>
          </cell>
          <cell r="T217">
            <v>0</v>
          </cell>
          <cell r="U217">
            <v>0</v>
          </cell>
          <cell r="X217">
            <v>0</v>
          </cell>
          <cell r="Z217">
            <v>0</v>
          </cell>
          <cell r="AA217">
            <v>0</v>
          </cell>
          <cell r="AB217">
            <v>0</v>
          </cell>
          <cell r="AD217">
            <v>0</v>
          </cell>
          <cell r="AF217">
            <v>0</v>
          </cell>
          <cell r="AJ217">
            <v>6</v>
          </cell>
          <cell r="AL217">
            <v>-2.2185246810869998E-2</v>
          </cell>
        </row>
        <row r="218">
          <cell r="C218">
            <v>0</v>
          </cell>
          <cell r="E218">
            <v>0</v>
          </cell>
          <cell r="G218">
            <v>0</v>
          </cell>
          <cell r="I218">
            <v>-0.29738008148214001</v>
          </cell>
          <cell r="K218">
            <v>0</v>
          </cell>
          <cell r="M218">
            <v>1.1092623405435</v>
          </cell>
          <cell r="N218">
            <v>0</v>
          </cell>
          <cell r="O218">
            <v>17.542182138585002</v>
          </cell>
          <cell r="P218">
            <v>0</v>
          </cell>
          <cell r="Q218">
            <v>0</v>
          </cell>
          <cell r="R218">
            <v>-1.331114808652E-2</v>
          </cell>
          <cell r="S218">
            <v>1.0193938462326999</v>
          </cell>
          <cell r="T218">
            <v>-18.966431095406001</v>
          </cell>
          <cell r="U218">
            <v>0</v>
          </cell>
          <cell r="X218">
            <v>0</v>
          </cell>
          <cell r="Z218">
            <v>0</v>
          </cell>
          <cell r="AA218">
            <v>0</v>
          </cell>
          <cell r="AB218">
            <v>0</v>
          </cell>
          <cell r="AD218">
            <v>-3.3277870216299999E-3</v>
          </cell>
          <cell r="AL218">
            <v>0</v>
          </cell>
        </row>
        <row r="219">
          <cell r="C219">
            <v>776.91787512209999</v>
          </cell>
          <cell r="E219">
            <v>-46.589018302828997</v>
          </cell>
          <cell r="H219">
            <v>13.861830602204</v>
          </cell>
          <cell r="I219">
            <v>-12.192583340768</v>
          </cell>
          <cell r="J219">
            <v>6.0465890183028002</v>
          </cell>
          <cell r="L219">
            <v>5.5463117027177002</v>
          </cell>
          <cell r="M219">
            <v>49.916805324458998</v>
          </cell>
          <cell r="N219">
            <v>0.14442928452579001</v>
          </cell>
          <cell r="O219">
            <v>27.037085324183</v>
          </cell>
          <cell r="P219">
            <v>0.18703106991033</v>
          </cell>
          <cell r="Q219">
            <v>89.850249584026997</v>
          </cell>
          <cell r="R219">
            <v>11.383250138657999</v>
          </cell>
          <cell r="S219">
            <v>1886.5046995718001</v>
          </cell>
          <cell r="T219">
            <v>84.329831183745995</v>
          </cell>
          <cell r="U219">
            <v>3.3277870216305998</v>
          </cell>
          <cell r="X219">
            <v>183.02828618967999</v>
          </cell>
          <cell r="Y219">
            <v>37.149072653744</v>
          </cell>
          <cell r="Z219">
            <v>-385.89834207556999</v>
          </cell>
          <cell r="AA219">
            <v>5.3047583682559997E-2</v>
          </cell>
          <cell r="AD219">
            <v>0.30504714364947</v>
          </cell>
          <cell r="AF219">
            <v>-9.2534374147319003</v>
          </cell>
          <cell r="AJ219">
            <v>866</v>
          </cell>
        </row>
        <row r="220">
          <cell r="E220">
            <v>0</v>
          </cell>
          <cell r="G220">
            <v>0</v>
          </cell>
          <cell r="H220">
            <v>0</v>
          </cell>
          <cell r="I220">
            <v>0</v>
          </cell>
          <cell r="J220">
            <v>0</v>
          </cell>
          <cell r="K220">
            <v>0</v>
          </cell>
          <cell r="M220">
            <v>0</v>
          </cell>
          <cell r="N220">
            <v>0</v>
          </cell>
          <cell r="O220">
            <v>0</v>
          </cell>
          <cell r="P220">
            <v>0</v>
          </cell>
          <cell r="Q220">
            <v>0</v>
          </cell>
          <cell r="R220">
            <v>-8.5413200221850005E-2</v>
          </cell>
          <cell r="T220">
            <v>0</v>
          </cell>
          <cell r="U220">
            <v>0</v>
          </cell>
          <cell r="X220">
            <v>0</v>
          </cell>
          <cell r="Z220">
            <v>0</v>
          </cell>
          <cell r="AA220">
            <v>0</v>
          </cell>
          <cell r="AB220">
            <v>0</v>
          </cell>
          <cell r="AD220">
            <v>0</v>
          </cell>
          <cell r="AF220">
            <v>0</v>
          </cell>
          <cell r="AJ220">
            <v>0</v>
          </cell>
          <cell r="AL220">
            <v>0</v>
          </cell>
        </row>
        <row r="221">
          <cell r="E221">
            <v>0</v>
          </cell>
          <cell r="G221">
            <v>0</v>
          </cell>
          <cell r="H221">
            <v>8.4231285325093008</v>
          </cell>
          <cell r="I221">
            <v>1.7842804888929</v>
          </cell>
          <cell r="J221">
            <v>0</v>
          </cell>
          <cell r="K221">
            <v>0</v>
          </cell>
          <cell r="M221">
            <v>6.6555740432611996</v>
          </cell>
          <cell r="N221">
            <v>0</v>
          </cell>
          <cell r="O221">
            <v>0</v>
          </cell>
          <cell r="P221">
            <v>0</v>
          </cell>
          <cell r="Q221">
            <v>0</v>
          </cell>
          <cell r="R221">
            <v>-0.17970049916805</v>
          </cell>
          <cell r="S221">
            <v>185.42631007840001</v>
          </cell>
          <cell r="T221">
            <v>-26.900901060071</v>
          </cell>
          <cell r="U221">
            <v>0</v>
          </cell>
          <cell r="X221">
            <v>7.7648363838048002</v>
          </cell>
          <cell r="AA221">
            <v>0.84876133892101002</v>
          </cell>
          <cell r="AB221">
            <v>0</v>
          </cell>
          <cell r="AD221">
            <v>-8.4303937881310007E-2</v>
          </cell>
          <cell r="AI221">
            <v>39.724980901450998</v>
          </cell>
          <cell r="AJ221">
            <v>554</v>
          </cell>
          <cell r="AL221">
            <v>0</v>
          </cell>
        </row>
        <row r="222">
          <cell r="C222">
            <v>0</v>
          </cell>
          <cell r="D222">
            <v>0</v>
          </cell>
          <cell r="E222">
            <v>0</v>
          </cell>
          <cell r="G222">
            <v>0</v>
          </cell>
          <cell r="H222">
            <v>0</v>
          </cell>
          <cell r="I222">
            <v>0</v>
          </cell>
          <cell r="K222">
            <v>0</v>
          </cell>
          <cell r="L222">
            <v>0</v>
          </cell>
          <cell r="M222">
            <v>0</v>
          </cell>
          <cell r="N222">
            <v>0</v>
          </cell>
          <cell r="O222">
            <v>0</v>
          </cell>
          <cell r="P222">
            <v>0</v>
          </cell>
          <cell r="Q222">
            <v>0</v>
          </cell>
          <cell r="R222">
            <v>0</v>
          </cell>
          <cell r="T222">
            <v>0</v>
          </cell>
          <cell r="U222">
            <v>0</v>
          </cell>
          <cell r="X222">
            <v>0</v>
          </cell>
          <cell r="Z222">
            <v>0</v>
          </cell>
          <cell r="AA222">
            <v>0</v>
          </cell>
          <cell r="AB222">
            <v>0</v>
          </cell>
          <cell r="AD222">
            <v>0</v>
          </cell>
          <cell r="AF222">
            <v>0</v>
          </cell>
          <cell r="AI222">
            <v>0</v>
          </cell>
          <cell r="AJ222">
            <v>0</v>
          </cell>
          <cell r="AL222">
            <v>3.3277870216309999E-2</v>
          </cell>
        </row>
        <row r="223">
          <cell r="E223">
            <v>-11.092623405435001</v>
          </cell>
          <cell r="G223">
            <v>0</v>
          </cell>
          <cell r="H223">
            <v>0</v>
          </cell>
          <cell r="I223">
            <v>-0.89214024444643003</v>
          </cell>
          <cell r="J223">
            <v>4.4370493621699999E-3</v>
          </cell>
          <cell r="K223">
            <v>0</v>
          </cell>
          <cell r="M223">
            <v>7.7648363838048002</v>
          </cell>
          <cell r="N223">
            <v>0</v>
          </cell>
          <cell r="P223">
            <v>0.13681182082480001</v>
          </cell>
          <cell r="Q223">
            <v>0</v>
          </cell>
          <cell r="R223">
            <v>-0.70438158624515002</v>
          </cell>
          <cell r="S223">
            <v>14.485675693768</v>
          </cell>
          <cell r="T223">
            <v>0</v>
          </cell>
          <cell r="U223">
            <v>0</v>
          </cell>
          <cell r="X223">
            <v>4.4370493621742</v>
          </cell>
          <cell r="AA223">
            <v>1.1139992573338</v>
          </cell>
          <cell r="AB223">
            <v>0</v>
          </cell>
          <cell r="AD223">
            <v>0</v>
          </cell>
          <cell r="AI223">
            <v>33.613445378150999</v>
          </cell>
          <cell r="AJ223">
            <v>18</v>
          </cell>
        </row>
        <row r="224">
          <cell r="C224">
            <v>0</v>
          </cell>
          <cell r="E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X224">
            <v>0</v>
          </cell>
          <cell r="Z224">
            <v>0</v>
          </cell>
          <cell r="AA224">
            <v>0</v>
          </cell>
          <cell r="AB224">
            <v>0</v>
          </cell>
          <cell r="AD224">
            <v>0</v>
          </cell>
          <cell r="AF224">
            <v>0</v>
          </cell>
          <cell r="AI224">
            <v>0</v>
          </cell>
          <cell r="AJ224">
            <v>0</v>
          </cell>
          <cell r="AL224">
            <v>0</v>
          </cell>
        </row>
        <row r="225">
          <cell r="C225">
            <v>0</v>
          </cell>
          <cell r="D225">
            <v>0</v>
          </cell>
          <cell r="E225">
            <v>0</v>
          </cell>
          <cell r="G225">
            <v>0</v>
          </cell>
          <cell r="H225">
            <v>0</v>
          </cell>
          <cell r="I225">
            <v>0</v>
          </cell>
          <cell r="K225">
            <v>0</v>
          </cell>
          <cell r="M225">
            <v>0</v>
          </cell>
          <cell r="N225">
            <v>3.3277870220000003E-5</v>
          </cell>
          <cell r="O225">
            <v>0</v>
          </cell>
          <cell r="P225">
            <v>0</v>
          </cell>
          <cell r="Q225">
            <v>0</v>
          </cell>
          <cell r="R225">
            <v>-2.2185246810899999E-3</v>
          </cell>
          <cell r="T225">
            <v>0</v>
          </cell>
          <cell r="U225">
            <v>0</v>
          </cell>
          <cell r="X225">
            <v>0</v>
          </cell>
          <cell r="Z225">
            <v>0</v>
          </cell>
          <cell r="AA225">
            <v>0</v>
          </cell>
          <cell r="AB225">
            <v>0</v>
          </cell>
          <cell r="AD225">
            <v>0</v>
          </cell>
          <cell r="AF225">
            <v>0</v>
          </cell>
          <cell r="AI225">
            <v>0</v>
          </cell>
          <cell r="AJ225">
            <v>0</v>
          </cell>
          <cell r="AL225">
            <v>-3.3277870216309999E-2</v>
          </cell>
        </row>
        <row r="226">
          <cell r="C226">
            <v>0</v>
          </cell>
          <cell r="D226">
            <v>0</v>
          </cell>
          <cell r="E226">
            <v>0</v>
          </cell>
          <cell r="G226">
            <v>0</v>
          </cell>
          <cell r="H226">
            <v>0</v>
          </cell>
          <cell r="I226">
            <v>0</v>
          </cell>
          <cell r="J226">
            <v>0.25734886300609999</v>
          </cell>
          <cell r="K226">
            <v>0</v>
          </cell>
          <cell r="L226">
            <v>0</v>
          </cell>
          <cell r="M226">
            <v>0</v>
          </cell>
          <cell r="N226">
            <v>1.4198557959000001E-4</v>
          </cell>
          <cell r="O226">
            <v>0</v>
          </cell>
          <cell r="P226">
            <v>0</v>
          </cell>
          <cell r="Q226">
            <v>0</v>
          </cell>
          <cell r="R226">
            <v>0</v>
          </cell>
          <cell r="T226">
            <v>0</v>
          </cell>
          <cell r="U226">
            <v>-1.1092623405435</v>
          </cell>
          <cell r="X226">
            <v>0</v>
          </cell>
          <cell r="Z226">
            <v>0</v>
          </cell>
          <cell r="AA226">
            <v>0</v>
          </cell>
          <cell r="AB226">
            <v>0</v>
          </cell>
          <cell r="AD226">
            <v>-4.4370493621739997E-2</v>
          </cell>
          <cell r="AF226">
            <v>0</v>
          </cell>
          <cell r="AJ226">
            <v>0</v>
          </cell>
          <cell r="AL226">
            <v>0.21075984470327</v>
          </cell>
        </row>
        <row r="227">
          <cell r="C227">
            <v>0</v>
          </cell>
          <cell r="E227">
            <v>0</v>
          </cell>
          <cell r="H227">
            <v>0</v>
          </cell>
          <cell r="I227">
            <v>0</v>
          </cell>
          <cell r="K227">
            <v>0</v>
          </cell>
          <cell r="M227">
            <v>0</v>
          </cell>
          <cell r="N227">
            <v>1.4886300610099999E-3</v>
          </cell>
          <cell r="O227">
            <v>0</v>
          </cell>
          <cell r="P227">
            <v>0</v>
          </cell>
          <cell r="Q227">
            <v>0</v>
          </cell>
          <cell r="R227">
            <v>-7.7648363838050002E-2</v>
          </cell>
          <cell r="S227">
            <v>0.92481713157517997</v>
          </cell>
          <cell r="T227">
            <v>0</v>
          </cell>
          <cell r="U227">
            <v>0</v>
          </cell>
          <cell r="X227">
            <v>1.1092623405435</v>
          </cell>
          <cell r="AA227">
            <v>0.58352342050820005</v>
          </cell>
          <cell r="AB227">
            <v>0</v>
          </cell>
          <cell r="AD227">
            <v>0</v>
          </cell>
          <cell r="AF227">
            <v>0</v>
          </cell>
          <cell r="AJ227">
            <v>0</v>
          </cell>
          <cell r="AL227">
            <v>0</v>
          </cell>
        </row>
        <row r="228">
          <cell r="C228">
            <v>0</v>
          </cell>
          <cell r="E228">
            <v>0</v>
          </cell>
          <cell r="G228">
            <v>0</v>
          </cell>
          <cell r="H228">
            <v>0</v>
          </cell>
          <cell r="I228">
            <v>0</v>
          </cell>
          <cell r="J228">
            <v>0</v>
          </cell>
          <cell r="K228">
            <v>0</v>
          </cell>
          <cell r="M228">
            <v>0</v>
          </cell>
          <cell r="N228">
            <v>0</v>
          </cell>
          <cell r="O228">
            <v>0</v>
          </cell>
          <cell r="P228">
            <v>0</v>
          </cell>
          <cell r="Q228">
            <v>0</v>
          </cell>
          <cell r="R228">
            <v>0</v>
          </cell>
          <cell r="T228">
            <v>0</v>
          </cell>
          <cell r="U228">
            <v>0</v>
          </cell>
          <cell r="X228">
            <v>0</v>
          </cell>
          <cell r="Z228">
            <v>0</v>
          </cell>
          <cell r="AA228">
            <v>0</v>
          </cell>
          <cell r="AD228">
            <v>0</v>
          </cell>
          <cell r="AF228">
            <v>0</v>
          </cell>
          <cell r="AL228">
            <v>0</v>
          </cell>
        </row>
        <row r="229">
          <cell r="C229">
            <v>0</v>
          </cell>
          <cell r="D229">
            <v>0</v>
          </cell>
          <cell r="E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X229">
            <v>0</v>
          </cell>
          <cell r="Z229">
            <v>0</v>
          </cell>
          <cell r="AA229">
            <v>0</v>
          </cell>
          <cell r="AB229">
            <v>0</v>
          </cell>
          <cell r="AD229">
            <v>0</v>
          </cell>
          <cell r="AF229">
            <v>0</v>
          </cell>
          <cell r="AJ229">
            <v>0</v>
          </cell>
          <cell r="AL229">
            <v>0</v>
          </cell>
        </row>
        <row r="230">
          <cell r="C230">
            <v>0</v>
          </cell>
          <cell r="D230">
            <v>0</v>
          </cell>
          <cell r="E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X230">
            <v>0</v>
          </cell>
          <cell r="Z230">
            <v>0</v>
          </cell>
          <cell r="AA230">
            <v>0</v>
          </cell>
          <cell r="AB230">
            <v>0</v>
          </cell>
          <cell r="AD230">
            <v>0</v>
          </cell>
          <cell r="AF230">
            <v>0</v>
          </cell>
          <cell r="AI230">
            <v>0</v>
          </cell>
          <cell r="AL230">
            <v>0</v>
          </cell>
        </row>
        <row r="231">
          <cell r="C231">
            <v>0</v>
          </cell>
          <cell r="D231">
            <v>0</v>
          </cell>
          <cell r="E231">
            <v>0</v>
          </cell>
          <cell r="H231">
            <v>0</v>
          </cell>
          <cell r="I231">
            <v>0</v>
          </cell>
          <cell r="J231">
            <v>0</v>
          </cell>
          <cell r="K231">
            <v>0</v>
          </cell>
          <cell r="L231">
            <v>0</v>
          </cell>
          <cell r="M231">
            <v>0</v>
          </cell>
          <cell r="N231">
            <v>0</v>
          </cell>
          <cell r="O231">
            <v>0</v>
          </cell>
          <cell r="P231">
            <v>0</v>
          </cell>
          <cell r="Q231">
            <v>0</v>
          </cell>
          <cell r="R231">
            <v>0</v>
          </cell>
          <cell r="T231">
            <v>0</v>
          </cell>
          <cell r="U231">
            <v>0</v>
          </cell>
          <cell r="X231">
            <v>0</v>
          </cell>
          <cell r="Z231">
            <v>0</v>
          </cell>
          <cell r="AA231">
            <v>0</v>
          </cell>
          <cell r="AB231">
            <v>0</v>
          </cell>
          <cell r="AD231">
            <v>0</v>
          </cell>
          <cell r="AF231">
            <v>0</v>
          </cell>
          <cell r="AI231">
            <v>0</v>
          </cell>
          <cell r="AJ231">
            <v>0</v>
          </cell>
          <cell r="AL231">
            <v>0</v>
          </cell>
        </row>
        <row r="232">
          <cell r="C232">
            <v>0</v>
          </cell>
          <cell r="D232">
            <v>0</v>
          </cell>
          <cell r="E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X232">
            <v>0</v>
          </cell>
          <cell r="Z232">
            <v>0</v>
          </cell>
          <cell r="AA232">
            <v>0</v>
          </cell>
          <cell r="AB232">
            <v>0</v>
          </cell>
          <cell r="AD232">
            <v>0</v>
          </cell>
          <cell r="AF232">
            <v>0</v>
          </cell>
          <cell r="AI232">
            <v>0</v>
          </cell>
          <cell r="AL232">
            <v>0</v>
          </cell>
        </row>
        <row r="233">
          <cell r="C233">
            <v>0</v>
          </cell>
          <cell r="D233">
            <v>0</v>
          </cell>
          <cell r="E233">
            <v>0</v>
          </cell>
          <cell r="G233">
            <v>0</v>
          </cell>
          <cell r="H233">
            <v>0</v>
          </cell>
          <cell r="I233">
            <v>0</v>
          </cell>
          <cell r="J233">
            <v>0</v>
          </cell>
          <cell r="K233">
            <v>0</v>
          </cell>
          <cell r="L233">
            <v>0</v>
          </cell>
          <cell r="M233">
            <v>0</v>
          </cell>
          <cell r="N233">
            <v>1.9645036050999999E-3</v>
          </cell>
          <cell r="O233">
            <v>0</v>
          </cell>
          <cell r="P233">
            <v>0</v>
          </cell>
          <cell r="Q233">
            <v>0</v>
          </cell>
          <cell r="R233">
            <v>0</v>
          </cell>
          <cell r="T233">
            <v>0</v>
          </cell>
          <cell r="U233">
            <v>0</v>
          </cell>
          <cell r="X233">
            <v>0</v>
          </cell>
          <cell r="Z233">
            <v>0</v>
          </cell>
          <cell r="AA233">
            <v>0</v>
          </cell>
          <cell r="AB233">
            <v>0</v>
          </cell>
          <cell r="AD233">
            <v>0</v>
          </cell>
          <cell r="AF233">
            <v>0</v>
          </cell>
          <cell r="AI233">
            <v>0</v>
          </cell>
          <cell r="AL233">
            <v>0</v>
          </cell>
        </row>
        <row r="234">
          <cell r="C234">
            <v>0</v>
          </cell>
          <cell r="D234">
            <v>0</v>
          </cell>
          <cell r="E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X234">
            <v>0</v>
          </cell>
          <cell r="Z234">
            <v>0</v>
          </cell>
          <cell r="AA234">
            <v>0</v>
          </cell>
          <cell r="AB234">
            <v>0</v>
          </cell>
          <cell r="AD234">
            <v>0</v>
          </cell>
          <cell r="AF234">
            <v>0</v>
          </cell>
          <cell r="AI234">
            <v>0</v>
          </cell>
          <cell r="AJ234">
            <v>0</v>
          </cell>
          <cell r="AL234">
            <v>0</v>
          </cell>
        </row>
        <row r="235">
          <cell r="C235">
            <v>0</v>
          </cell>
          <cell r="D235">
            <v>0</v>
          </cell>
          <cell r="H235">
            <v>0</v>
          </cell>
          <cell r="I235">
            <v>0</v>
          </cell>
          <cell r="J235">
            <v>0</v>
          </cell>
          <cell r="K235">
            <v>0</v>
          </cell>
          <cell r="M235">
            <v>0</v>
          </cell>
          <cell r="N235">
            <v>3.9822518026E-4</v>
          </cell>
          <cell r="O235">
            <v>0</v>
          </cell>
          <cell r="P235">
            <v>0</v>
          </cell>
          <cell r="Q235">
            <v>0</v>
          </cell>
          <cell r="R235">
            <v>0</v>
          </cell>
          <cell r="T235">
            <v>0</v>
          </cell>
          <cell r="U235">
            <v>0</v>
          </cell>
          <cell r="X235">
            <v>0</v>
          </cell>
          <cell r="Z235">
            <v>0</v>
          </cell>
          <cell r="AA235">
            <v>0</v>
          </cell>
          <cell r="AB235">
            <v>0</v>
          </cell>
          <cell r="AD235">
            <v>0</v>
          </cell>
          <cell r="AF235">
            <v>0</v>
          </cell>
          <cell r="AI235">
            <v>0</v>
          </cell>
          <cell r="AJ235">
            <v>0</v>
          </cell>
          <cell r="AL235">
            <v>0</v>
          </cell>
        </row>
        <row r="236">
          <cell r="C236">
            <v>0</v>
          </cell>
          <cell r="D236">
            <v>0</v>
          </cell>
          <cell r="E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X236">
            <v>0</v>
          </cell>
          <cell r="Z236">
            <v>0</v>
          </cell>
          <cell r="AA236">
            <v>0</v>
          </cell>
          <cell r="AB236">
            <v>0</v>
          </cell>
          <cell r="AD236">
            <v>0</v>
          </cell>
          <cell r="AF236">
            <v>0</v>
          </cell>
          <cell r="AI236">
            <v>0</v>
          </cell>
          <cell r="AJ236">
            <v>0</v>
          </cell>
          <cell r="AL236">
            <v>0</v>
          </cell>
        </row>
        <row r="237">
          <cell r="C237">
            <v>0</v>
          </cell>
          <cell r="D237">
            <v>0</v>
          </cell>
          <cell r="E237">
            <v>0</v>
          </cell>
          <cell r="G237">
            <v>0</v>
          </cell>
          <cell r="H237">
            <v>0</v>
          </cell>
          <cell r="I237">
            <v>0</v>
          </cell>
          <cell r="J237">
            <v>0</v>
          </cell>
          <cell r="K237">
            <v>0</v>
          </cell>
          <cell r="L237">
            <v>0</v>
          </cell>
          <cell r="M237">
            <v>0</v>
          </cell>
          <cell r="N237">
            <v>0</v>
          </cell>
          <cell r="O237">
            <v>0</v>
          </cell>
          <cell r="P237">
            <v>0</v>
          </cell>
          <cell r="Q237">
            <v>0</v>
          </cell>
          <cell r="R237">
            <v>-4.4370493621699999E-3</v>
          </cell>
          <cell r="T237">
            <v>0</v>
          </cell>
          <cell r="U237">
            <v>0</v>
          </cell>
          <cell r="X237">
            <v>0</v>
          </cell>
          <cell r="Z237">
            <v>0</v>
          </cell>
          <cell r="AA237">
            <v>0</v>
          </cell>
          <cell r="AB237">
            <v>0</v>
          </cell>
          <cell r="AD237">
            <v>0</v>
          </cell>
          <cell r="AF237">
            <v>0</v>
          </cell>
          <cell r="AI237">
            <v>0</v>
          </cell>
          <cell r="AL237">
            <v>0</v>
          </cell>
        </row>
        <row r="238">
          <cell r="C238">
            <v>0</v>
          </cell>
          <cell r="D238">
            <v>0</v>
          </cell>
          <cell r="E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X238">
            <v>0</v>
          </cell>
          <cell r="Z238">
            <v>0</v>
          </cell>
          <cell r="AA238">
            <v>0</v>
          </cell>
          <cell r="AB238">
            <v>0</v>
          </cell>
          <cell r="AD238">
            <v>0</v>
          </cell>
          <cell r="AF238">
            <v>0</v>
          </cell>
          <cell r="AI238">
            <v>0</v>
          </cell>
          <cell r="AL238">
            <v>0</v>
          </cell>
        </row>
        <row r="239">
          <cell r="C239">
            <v>0</v>
          </cell>
          <cell r="E239">
            <v>0</v>
          </cell>
          <cell r="G239">
            <v>0</v>
          </cell>
          <cell r="H239">
            <v>0</v>
          </cell>
          <cell r="I239">
            <v>0</v>
          </cell>
          <cell r="J239">
            <v>0</v>
          </cell>
          <cell r="K239">
            <v>0</v>
          </cell>
          <cell r="M239">
            <v>0</v>
          </cell>
          <cell r="N239">
            <v>0</v>
          </cell>
          <cell r="O239">
            <v>0</v>
          </cell>
          <cell r="P239">
            <v>0</v>
          </cell>
          <cell r="Q239">
            <v>0</v>
          </cell>
          <cell r="R239">
            <v>0</v>
          </cell>
          <cell r="T239">
            <v>0</v>
          </cell>
          <cell r="U239">
            <v>0</v>
          </cell>
          <cell r="X239">
            <v>0</v>
          </cell>
          <cell r="Z239">
            <v>0</v>
          </cell>
          <cell r="AA239">
            <v>0</v>
          </cell>
          <cell r="AB239">
            <v>0</v>
          </cell>
          <cell r="AD239">
            <v>0</v>
          </cell>
          <cell r="AF239">
            <v>0</v>
          </cell>
          <cell r="AI239">
            <v>0</v>
          </cell>
          <cell r="AJ239">
            <v>0</v>
          </cell>
          <cell r="AL239">
            <v>0</v>
          </cell>
        </row>
        <row r="240">
          <cell r="C240">
            <v>0</v>
          </cell>
          <cell r="E240">
            <v>0</v>
          </cell>
          <cell r="H240">
            <v>0</v>
          </cell>
          <cell r="I240">
            <v>0</v>
          </cell>
          <cell r="J240">
            <v>1.6783139212424001</v>
          </cell>
          <cell r="K240">
            <v>0</v>
          </cell>
          <cell r="M240">
            <v>0</v>
          </cell>
          <cell r="N240">
            <v>-6.9555008319468001</v>
          </cell>
          <cell r="O240">
            <v>353.77938637649999</v>
          </cell>
          <cell r="P240">
            <v>0</v>
          </cell>
          <cell r="Q240">
            <v>0</v>
          </cell>
          <cell r="R240">
            <v>0</v>
          </cell>
          <cell r="T240">
            <v>0</v>
          </cell>
          <cell r="U240">
            <v>0</v>
          </cell>
          <cell r="X240">
            <v>0</v>
          </cell>
          <cell r="Z240">
            <v>-42.161129918282001</v>
          </cell>
          <cell r="AA240">
            <v>0</v>
          </cell>
          <cell r="AB240">
            <v>0</v>
          </cell>
          <cell r="AD240">
            <v>0</v>
          </cell>
          <cell r="AF240">
            <v>0</v>
          </cell>
          <cell r="AI240">
            <v>10.695187165775</v>
          </cell>
          <cell r="AJ240">
            <v>9</v>
          </cell>
          <cell r="AL240">
            <v>0</v>
          </cell>
        </row>
        <row r="241">
          <cell r="C241">
            <v>0</v>
          </cell>
          <cell r="E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X241">
            <v>0</v>
          </cell>
          <cell r="Z241">
            <v>0</v>
          </cell>
          <cell r="AA241">
            <v>0</v>
          </cell>
          <cell r="AB241">
            <v>0</v>
          </cell>
          <cell r="AD241">
            <v>0</v>
          </cell>
          <cell r="AF241">
            <v>0</v>
          </cell>
          <cell r="AI241">
            <v>0</v>
          </cell>
          <cell r="AJ241">
            <v>0</v>
          </cell>
          <cell r="AL241">
            <v>0</v>
          </cell>
        </row>
        <row r="242">
          <cell r="C242">
            <v>0</v>
          </cell>
          <cell r="D242">
            <v>0</v>
          </cell>
          <cell r="E242">
            <v>0</v>
          </cell>
          <cell r="G242">
            <v>0</v>
          </cell>
          <cell r="H242">
            <v>5.7333387549299997E-3</v>
          </cell>
          <cell r="I242">
            <v>0</v>
          </cell>
          <cell r="J242">
            <v>0</v>
          </cell>
          <cell r="K242">
            <v>0</v>
          </cell>
          <cell r="L242">
            <v>0</v>
          </cell>
          <cell r="M242">
            <v>0</v>
          </cell>
          <cell r="N242">
            <v>0</v>
          </cell>
          <cell r="O242">
            <v>0</v>
          </cell>
          <cell r="P242">
            <v>0</v>
          </cell>
          <cell r="Q242">
            <v>0</v>
          </cell>
          <cell r="R242">
            <v>0</v>
          </cell>
          <cell r="T242">
            <v>0</v>
          </cell>
          <cell r="U242">
            <v>0</v>
          </cell>
          <cell r="X242">
            <v>0</v>
          </cell>
          <cell r="Z242">
            <v>0</v>
          </cell>
          <cell r="AA242">
            <v>0</v>
          </cell>
          <cell r="AB242">
            <v>0</v>
          </cell>
          <cell r="AD242">
            <v>0</v>
          </cell>
          <cell r="AF242">
            <v>0</v>
          </cell>
          <cell r="AI242">
            <v>0</v>
          </cell>
          <cell r="AJ242">
            <v>0</v>
          </cell>
          <cell r="AL242">
            <v>0</v>
          </cell>
        </row>
        <row r="243">
          <cell r="C243">
            <v>0</v>
          </cell>
          <cell r="G243">
            <v>0</v>
          </cell>
          <cell r="H243">
            <v>0</v>
          </cell>
          <cell r="I243">
            <v>0</v>
          </cell>
          <cell r="J243">
            <v>0</v>
          </cell>
          <cell r="K243">
            <v>0</v>
          </cell>
          <cell r="M243">
            <v>0</v>
          </cell>
          <cell r="N243">
            <v>0</v>
          </cell>
          <cell r="O243">
            <v>0</v>
          </cell>
          <cell r="P243">
            <v>0</v>
          </cell>
          <cell r="Q243">
            <v>0</v>
          </cell>
          <cell r="R243">
            <v>0</v>
          </cell>
          <cell r="T243">
            <v>0</v>
          </cell>
          <cell r="U243">
            <v>0</v>
          </cell>
          <cell r="X243">
            <v>0</v>
          </cell>
          <cell r="Z243">
            <v>0</v>
          </cell>
          <cell r="AA243">
            <v>0</v>
          </cell>
          <cell r="AB243">
            <v>0</v>
          </cell>
          <cell r="AD243">
            <v>0</v>
          </cell>
          <cell r="AF243">
            <v>0</v>
          </cell>
          <cell r="AI243">
            <v>0</v>
          </cell>
          <cell r="AL243">
            <v>0</v>
          </cell>
        </row>
        <row r="244">
          <cell r="C244">
            <v>0</v>
          </cell>
          <cell r="E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X244">
            <v>0</v>
          </cell>
          <cell r="Z244">
            <v>0</v>
          </cell>
          <cell r="AA244">
            <v>0</v>
          </cell>
          <cell r="AB244">
            <v>0</v>
          </cell>
          <cell r="AD244">
            <v>0</v>
          </cell>
          <cell r="AF244">
            <v>0</v>
          </cell>
          <cell r="AI244">
            <v>0</v>
          </cell>
          <cell r="AL244">
            <v>0</v>
          </cell>
        </row>
        <row r="245">
          <cell r="C245">
            <v>0</v>
          </cell>
          <cell r="D245">
            <v>0</v>
          </cell>
          <cell r="E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X245">
            <v>1.1092623405435</v>
          </cell>
          <cell r="Z245">
            <v>0</v>
          </cell>
          <cell r="AA245">
            <v>0</v>
          </cell>
          <cell r="AB245">
            <v>0</v>
          </cell>
          <cell r="AD245">
            <v>0</v>
          </cell>
          <cell r="AF245">
            <v>0</v>
          </cell>
          <cell r="AI245">
            <v>0</v>
          </cell>
          <cell r="AL245">
            <v>0</v>
          </cell>
        </row>
        <row r="246">
          <cell r="C246">
            <v>0</v>
          </cell>
          <cell r="D246">
            <v>0</v>
          </cell>
          <cell r="E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X246">
            <v>0</v>
          </cell>
          <cell r="Z246">
            <v>0</v>
          </cell>
          <cell r="AA246">
            <v>0</v>
          </cell>
          <cell r="AB246">
            <v>0</v>
          </cell>
          <cell r="AD246">
            <v>0</v>
          </cell>
          <cell r="AF246">
            <v>0</v>
          </cell>
          <cell r="AI246">
            <v>0</v>
          </cell>
          <cell r="AL246">
            <v>0</v>
          </cell>
        </row>
        <row r="247">
          <cell r="C247">
            <v>0</v>
          </cell>
          <cell r="D247">
            <v>0</v>
          </cell>
          <cell r="E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X247">
            <v>0</v>
          </cell>
          <cell r="Z247">
            <v>0</v>
          </cell>
          <cell r="AA247">
            <v>0</v>
          </cell>
          <cell r="AB247">
            <v>0</v>
          </cell>
          <cell r="AD247">
            <v>0</v>
          </cell>
          <cell r="AF247">
            <v>0</v>
          </cell>
          <cell r="AI247">
            <v>0</v>
          </cell>
          <cell r="AJ247">
            <v>0</v>
          </cell>
          <cell r="AL247">
            <v>0</v>
          </cell>
        </row>
        <row r="248">
          <cell r="E248">
            <v>0</v>
          </cell>
          <cell r="G248">
            <v>0</v>
          </cell>
          <cell r="H248">
            <v>0</v>
          </cell>
          <cell r="I248">
            <v>0</v>
          </cell>
          <cell r="J248">
            <v>0</v>
          </cell>
          <cell r="K248">
            <v>0</v>
          </cell>
          <cell r="M248">
            <v>0</v>
          </cell>
          <cell r="N248">
            <v>0</v>
          </cell>
          <cell r="O248">
            <v>0</v>
          </cell>
          <cell r="P248">
            <v>0</v>
          </cell>
          <cell r="Q248">
            <v>0</v>
          </cell>
          <cell r="R248">
            <v>0</v>
          </cell>
          <cell r="T248">
            <v>0</v>
          </cell>
          <cell r="U248">
            <v>0</v>
          </cell>
          <cell r="X248">
            <v>0</v>
          </cell>
          <cell r="Z248">
            <v>0</v>
          </cell>
          <cell r="AA248">
            <v>0</v>
          </cell>
          <cell r="AB248">
            <v>0</v>
          </cell>
          <cell r="AD248">
            <v>0</v>
          </cell>
          <cell r="AF248">
            <v>0</v>
          </cell>
          <cell r="AI248">
            <v>0</v>
          </cell>
          <cell r="AJ248">
            <v>0</v>
          </cell>
          <cell r="AL248">
            <v>0</v>
          </cell>
        </row>
        <row r="249">
          <cell r="C249">
            <v>0</v>
          </cell>
          <cell r="D249">
            <v>0</v>
          </cell>
          <cell r="E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X249">
            <v>0</v>
          </cell>
          <cell r="Z249">
            <v>0</v>
          </cell>
          <cell r="AA249">
            <v>0</v>
          </cell>
          <cell r="AB249">
            <v>0</v>
          </cell>
          <cell r="AD249">
            <v>0</v>
          </cell>
          <cell r="AF249">
            <v>0</v>
          </cell>
          <cell r="AI249">
            <v>0</v>
          </cell>
          <cell r="AJ249">
            <v>3</v>
          </cell>
          <cell r="AL249">
            <v>0</v>
          </cell>
        </row>
        <row r="250">
          <cell r="C250">
            <v>0</v>
          </cell>
          <cell r="D250">
            <v>0</v>
          </cell>
          <cell r="E250">
            <v>0</v>
          </cell>
          <cell r="G250">
            <v>0</v>
          </cell>
          <cell r="H250">
            <v>0</v>
          </cell>
          <cell r="I250">
            <v>0</v>
          </cell>
          <cell r="J250">
            <v>0</v>
          </cell>
          <cell r="K250">
            <v>0</v>
          </cell>
          <cell r="L250">
            <v>0</v>
          </cell>
          <cell r="M250">
            <v>0</v>
          </cell>
          <cell r="N250">
            <v>0</v>
          </cell>
          <cell r="O250">
            <v>0</v>
          </cell>
          <cell r="P250">
            <v>0</v>
          </cell>
          <cell r="Q250">
            <v>0</v>
          </cell>
          <cell r="R250">
            <v>0</v>
          </cell>
          <cell r="T250">
            <v>0.17800353356890999</v>
          </cell>
          <cell r="U250">
            <v>0</v>
          </cell>
          <cell r="X250">
            <v>0</v>
          </cell>
          <cell r="Z250">
            <v>0</v>
          </cell>
          <cell r="AA250">
            <v>0</v>
          </cell>
          <cell r="AB250">
            <v>0</v>
          </cell>
          <cell r="AD250">
            <v>0</v>
          </cell>
          <cell r="AF250">
            <v>0</v>
          </cell>
          <cell r="AL250">
            <v>0</v>
          </cell>
        </row>
        <row r="251">
          <cell r="C251">
            <v>0</v>
          </cell>
          <cell r="D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X251">
            <v>0</v>
          </cell>
          <cell r="Z251">
            <v>0</v>
          </cell>
          <cell r="AA251">
            <v>0</v>
          </cell>
          <cell r="AB251">
            <v>0</v>
          </cell>
          <cell r="AD251">
            <v>0</v>
          </cell>
          <cell r="AF251">
            <v>0</v>
          </cell>
          <cell r="AI251">
            <v>0</v>
          </cell>
          <cell r="AJ251">
            <v>0</v>
          </cell>
          <cell r="AL251">
            <v>0</v>
          </cell>
        </row>
        <row r="252">
          <cell r="C252">
            <v>0</v>
          </cell>
          <cell r="D252">
            <v>0</v>
          </cell>
          <cell r="E252">
            <v>0</v>
          </cell>
          <cell r="G252">
            <v>0</v>
          </cell>
          <cell r="H252">
            <v>0</v>
          </cell>
          <cell r="I252">
            <v>0</v>
          </cell>
          <cell r="J252">
            <v>0</v>
          </cell>
          <cell r="K252">
            <v>0</v>
          </cell>
          <cell r="M252">
            <v>0</v>
          </cell>
          <cell r="N252">
            <v>0</v>
          </cell>
          <cell r="O252">
            <v>0</v>
          </cell>
          <cell r="P252">
            <v>0</v>
          </cell>
          <cell r="Q252">
            <v>0</v>
          </cell>
          <cell r="R252">
            <v>0</v>
          </cell>
          <cell r="T252">
            <v>0</v>
          </cell>
          <cell r="U252">
            <v>0</v>
          </cell>
          <cell r="X252">
            <v>0</v>
          </cell>
          <cell r="Z252">
            <v>0</v>
          </cell>
          <cell r="AA252">
            <v>0</v>
          </cell>
          <cell r="AB252">
            <v>0</v>
          </cell>
          <cell r="AD252">
            <v>0</v>
          </cell>
          <cell r="AF252">
            <v>0</v>
          </cell>
          <cell r="AI252">
            <v>0</v>
          </cell>
          <cell r="AL252">
            <v>0</v>
          </cell>
        </row>
        <row r="253">
          <cell r="C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X253">
            <v>0</v>
          </cell>
          <cell r="Z253">
            <v>0</v>
          </cell>
          <cell r="AA253">
            <v>0</v>
          </cell>
          <cell r="AB253">
            <v>0</v>
          </cell>
          <cell r="AD253">
            <v>0</v>
          </cell>
          <cell r="AF253">
            <v>0</v>
          </cell>
          <cell r="AI253">
            <v>0</v>
          </cell>
          <cell r="AL253">
            <v>0</v>
          </cell>
        </row>
        <row r="254">
          <cell r="C254">
            <v>0</v>
          </cell>
          <cell r="D254">
            <v>0</v>
          </cell>
          <cell r="E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X254">
            <v>0</v>
          </cell>
          <cell r="Z254">
            <v>0</v>
          </cell>
          <cell r="AA254">
            <v>0</v>
          </cell>
          <cell r="AB254">
            <v>0</v>
          </cell>
          <cell r="AD254">
            <v>0</v>
          </cell>
          <cell r="AF254">
            <v>0</v>
          </cell>
          <cell r="AI254">
            <v>0</v>
          </cell>
          <cell r="AJ254">
            <v>0</v>
          </cell>
          <cell r="AL254">
            <v>0</v>
          </cell>
        </row>
        <row r="255">
          <cell r="C255">
            <v>0</v>
          </cell>
          <cell r="D255">
            <v>0</v>
          </cell>
          <cell r="E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X255">
            <v>0</v>
          </cell>
          <cell r="Z255">
            <v>0</v>
          </cell>
          <cell r="AA255">
            <v>0</v>
          </cell>
          <cell r="AB255">
            <v>0</v>
          </cell>
          <cell r="AD255">
            <v>0</v>
          </cell>
          <cell r="AF255">
            <v>0</v>
          </cell>
          <cell r="AI255">
            <v>0</v>
          </cell>
          <cell r="AJ255">
            <v>0</v>
          </cell>
          <cell r="AL255">
            <v>0</v>
          </cell>
        </row>
        <row r="256">
          <cell r="C256">
            <v>0</v>
          </cell>
          <cell r="E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X256">
            <v>0</v>
          </cell>
          <cell r="Z256">
            <v>0</v>
          </cell>
          <cell r="AA256">
            <v>0</v>
          </cell>
          <cell r="AB256">
            <v>0</v>
          </cell>
          <cell r="AD256">
            <v>0</v>
          </cell>
          <cell r="AF256">
            <v>0.83043669106568996</v>
          </cell>
          <cell r="AI256">
            <v>0</v>
          </cell>
          <cell r="AL256">
            <v>0</v>
          </cell>
        </row>
        <row r="257">
          <cell r="C257">
            <v>0</v>
          </cell>
          <cell r="D257">
            <v>0</v>
          </cell>
          <cell r="G257">
            <v>0</v>
          </cell>
          <cell r="H257">
            <v>0</v>
          </cell>
          <cell r="I257">
            <v>0</v>
          </cell>
          <cell r="J257">
            <v>0</v>
          </cell>
          <cell r="K257">
            <v>0</v>
          </cell>
          <cell r="L257">
            <v>0</v>
          </cell>
          <cell r="M257">
            <v>0</v>
          </cell>
          <cell r="N257">
            <v>3.3277870200000001E-6</v>
          </cell>
          <cell r="O257">
            <v>0</v>
          </cell>
          <cell r="P257">
            <v>0</v>
          </cell>
          <cell r="Q257">
            <v>0</v>
          </cell>
          <cell r="R257">
            <v>0</v>
          </cell>
          <cell r="T257">
            <v>0</v>
          </cell>
          <cell r="U257">
            <v>0</v>
          </cell>
          <cell r="X257">
            <v>0</v>
          </cell>
          <cell r="Z257">
            <v>0</v>
          </cell>
          <cell r="AA257">
            <v>0</v>
          </cell>
          <cell r="AB257">
            <v>0</v>
          </cell>
          <cell r="AD257">
            <v>1.10926234054E-3</v>
          </cell>
          <cell r="AF257">
            <v>0</v>
          </cell>
          <cell r="AI257">
            <v>0</v>
          </cell>
          <cell r="AJ257">
            <v>0</v>
          </cell>
          <cell r="AL257">
            <v>0</v>
          </cell>
        </row>
        <row r="258">
          <cell r="C258">
            <v>0</v>
          </cell>
          <cell r="D258">
            <v>0</v>
          </cell>
          <cell r="E258">
            <v>0</v>
          </cell>
          <cell r="G258">
            <v>0</v>
          </cell>
          <cell r="H258">
            <v>0</v>
          </cell>
          <cell r="I258">
            <v>0</v>
          </cell>
          <cell r="J258">
            <v>0</v>
          </cell>
          <cell r="K258">
            <v>0</v>
          </cell>
          <cell r="M258">
            <v>0</v>
          </cell>
          <cell r="N258">
            <v>0</v>
          </cell>
          <cell r="O258">
            <v>0</v>
          </cell>
          <cell r="P258">
            <v>0</v>
          </cell>
          <cell r="Q258">
            <v>0</v>
          </cell>
          <cell r="R258">
            <v>0</v>
          </cell>
          <cell r="T258">
            <v>0</v>
          </cell>
          <cell r="U258">
            <v>0</v>
          </cell>
          <cell r="X258">
            <v>0</v>
          </cell>
          <cell r="Z258">
            <v>0</v>
          </cell>
          <cell r="AA258">
            <v>0</v>
          </cell>
          <cell r="AB258">
            <v>0</v>
          </cell>
          <cell r="AD258">
            <v>0</v>
          </cell>
          <cell r="AF258">
            <v>0</v>
          </cell>
          <cell r="AI258">
            <v>0</v>
          </cell>
          <cell r="AL258">
            <v>0</v>
          </cell>
        </row>
        <row r="259">
          <cell r="C259">
            <v>4376.7375460214998</v>
          </cell>
          <cell r="E259">
            <v>20031.059345534999</v>
          </cell>
          <cell r="H259">
            <v>13485.293620136001</v>
          </cell>
          <cell r="I259">
            <v>3434.1451809557998</v>
          </cell>
          <cell r="J259">
            <v>1128.9839156961</v>
          </cell>
          <cell r="L259">
            <v>19750.415973378</v>
          </cell>
          <cell r="M259">
            <v>25154.742096506001</v>
          </cell>
          <cell r="N259">
            <v>1008.4698380477</v>
          </cell>
          <cell r="O259">
            <v>8142.6781485274996</v>
          </cell>
          <cell r="P259">
            <v>147.25190293693001</v>
          </cell>
          <cell r="Q259">
            <v>26033.277870215999</v>
          </cell>
          <cell r="R259">
            <v>10618.574597892</v>
          </cell>
          <cell r="S259">
            <v>10212.001323388</v>
          </cell>
          <cell r="T259">
            <v>673.05276466430996</v>
          </cell>
          <cell r="U259">
            <v>786.46699944536999</v>
          </cell>
          <cell r="V259">
            <v>25469.77260122</v>
          </cell>
          <cell r="X259">
            <v>94197.448696616993</v>
          </cell>
          <cell r="Y259">
            <v>428.32875470646002</v>
          </cell>
          <cell r="Z259">
            <v>6287.2164974020998</v>
          </cell>
          <cell r="AA259">
            <v>17096.360935758999</v>
          </cell>
          <cell r="AD259">
            <v>903.83582917360002</v>
          </cell>
          <cell r="AE259">
            <v>16985.024958402999</v>
          </cell>
          <cell r="AF259">
            <v>15117.625425599001</v>
          </cell>
          <cell r="AI259">
            <v>42826.585179526002</v>
          </cell>
          <cell r="AJ259">
            <v>80186</v>
          </cell>
          <cell r="AL259">
            <v>1468.563505269</v>
          </cell>
        </row>
        <row r="260">
          <cell r="C260">
            <v>4376.7375460214998</v>
          </cell>
          <cell r="D260">
            <v>0</v>
          </cell>
          <cell r="E260">
            <v>20031.059345534999</v>
          </cell>
          <cell r="F260">
            <v>0</v>
          </cell>
          <cell r="G260">
            <v>0</v>
          </cell>
          <cell r="H260">
            <v>13485.293620136001</v>
          </cell>
          <cell r="I260">
            <v>3434.1451809557998</v>
          </cell>
          <cell r="J260">
            <v>1128.9839156961</v>
          </cell>
          <cell r="K260">
            <v>0</v>
          </cell>
          <cell r="L260">
            <v>19750.415973378</v>
          </cell>
          <cell r="M260">
            <v>25154.742096506001</v>
          </cell>
          <cell r="N260">
            <v>1008.4698380477</v>
          </cell>
          <cell r="O260">
            <v>8142.6781485274996</v>
          </cell>
          <cell r="P260">
            <v>147.25190293693001</v>
          </cell>
          <cell r="Q260">
            <v>26033.277870215999</v>
          </cell>
          <cell r="R260">
            <v>10618.574597892</v>
          </cell>
          <cell r="S260">
            <v>10212.001323388</v>
          </cell>
          <cell r="T260">
            <v>673.05276466430996</v>
          </cell>
          <cell r="U260">
            <v>786.46699944536999</v>
          </cell>
          <cell r="V260">
            <v>25469.77260122</v>
          </cell>
          <cell r="W260">
            <v>0</v>
          </cell>
          <cell r="X260">
            <v>94197.448696616993</v>
          </cell>
          <cell r="Y260">
            <v>428.32875470646002</v>
          </cell>
          <cell r="Z260">
            <v>6287.2164974020998</v>
          </cell>
          <cell r="AA260">
            <v>17096.360935758999</v>
          </cell>
          <cell r="AB260">
            <v>0</v>
          </cell>
          <cell r="AC260">
            <v>0</v>
          </cell>
          <cell r="AD260">
            <v>903.83582917360002</v>
          </cell>
          <cell r="AE260">
            <v>16985.024958402999</v>
          </cell>
          <cell r="AF260">
            <v>15117.625425599001</v>
          </cell>
          <cell r="AG260">
            <v>0</v>
          </cell>
          <cell r="AH260">
            <v>0</v>
          </cell>
          <cell r="AI260">
            <v>42826.585179526002</v>
          </cell>
          <cell r="AJ260">
            <v>80186</v>
          </cell>
          <cell r="AK260">
            <v>0</v>
          </cell>
          <cell r="AL260">
            <v>1468.563505269</v>
          </cell>
        </row>
        <row r="261">
          <cell r="C261">
            <v>23973.251183410001</v>
          </cell>
          <cell r="D261">
            <v>0</v>
          </cell>
          <cell r="E261">
            <v>20734.331669439998</v>
          </cell>
          <cell r="F261">
            <v>33733.083000860999</v>
          </cell>
          <cell r="G261">
            <v>10233.519814927</v>
          </cell>
          <cell r="H261">
            <v>14473.473712032001</v>
          </cell>
          <cell r="I261">
            <v>5206.0843964671003</v>
          </cell>
          <cell r="J261">
            <v>1321.7160288407999</v>
          </cell>
          <cell r="K261">
            <v>0</v>
          </cell>
          <cell r="L261">
            <v>25964.503605103</v>
          </cell>
          <cell r="M261">
            <v>33633.943427621001</v>
          </cell>
          <cell r="N261">
            <v>1156.7556206323</v>
          </cell>
          <cell r="O261">
            <v>11620.257269139</v>
          </cell>
          <cell r="P261">
            <v>36.721543558576997</v>
          </cell>
          <cell r="Q261">
            <v>64705.490848586</v>
          </cell>
          <cell r="R261">
            <v>11685.327787022001</v>
          </cell>
          <cell r="S261">
            <v>24191.297999145001</v>
          </cell>
          <cell r="T261">
            <v>2261.1056400176999</v>
          </cell>
          <cell r="U261">
            <v>1151.4143094842</v>
          </cell>
          <cell r="V261">
            <v>64727.676095397001</v>
          </cell>
          <cell r="W261">
            <v>0</v>
          </cell>
          <cell r="X261">
            <v>181210.20521352999</v>
          </cell>
          <cell r="Y261">
            <v>5867.7600055780003</v>
          </cell>
          <cell r="Z261">
            <v>6038.0938209143997</v>
          </cell>
          <cell r="AA261">
            <v>18057.344437961001</v>
          </cell>
          <cell r="AB261">
            <v>4857.4597892401998</v>
          </cell>
          <cell r="AC261">
            <v>0</v>
          </cell>
          <cell r="AD261">
            <v>1078.1752634498</v>
          </cell>
          <cell r="AE261">
            <v>21338.879645035999</v>
          </cell>
          <cell r="AF261">
            <v>20768.035305423</v>
          </cell>
          <cell r="AG261">
            <v>60637.403417950001</v>
          </cell>
          <cell r="AH261">
            <v>3542.26</v>
          </cell>
          <cell r="AI261">
            <v>97544.690603513998</v>
          </cell>
          <cell r="AJ261">
            <v>148335</v>
          </cell>
          <cell r="AK261">
            <v>0</v>
          </cell>
          <cell r="AL261">
            <v>1678.768718802</v>
          </cell>
        </row>
      </sheetData>
      <sheetData sheetId="80">
        <row r="4">
          <cell r="A4" t="str">
            <v>Europe</v>
          </cell>
        </row>
        <row r="60">
          <cell r="A60" t="str">
            <v>Gibraltar (UK)</v>
          </cell>
        </row>
        <row r="139">
          <cell r="A139" t="str">
            <v>Bermuda (UK)</v>
          </cell>
        </row>
        <row r="143">
          <cell r="A143" t="str">
            <v>Anguilla (UK)</v>
          </cell>
        </row>
        <row r="145">
          <cell r="A145" t="str">
            <v>Aruba (NL)</v>
          </cell>
        </row>
        <row r="148">
          <cell r="A148" t="str">
            <v>Bonaire, Saint Eustatius and Saba</v>
          </cell>
        </row>
        <row r="149">
          <cell r="A149" t="str">
            <v>British Virgin Islands (UK)</v>
          </cell>
        </row>
        <row r="150">
          <cell r="A150" t="str">
            <v>Cayman Islands (UK)</v>
          </cell>
        </row>
        <row r="196">
          <cell r="A196" t="str">
            <v>China except Hong Kong</v>
          </cell>
        </row>
        <row r="197">
          <cell r="A197" t="str">
            <v>Hong Kong</v>
          </cell>
        </row>
      </sheetData>
      <sheetData sheetId="81">
        <row r="1">
          <cell r="B1" t="str">
            <v>Refresh</v>
          </cell>
        </row>
        <row r="140">
          <cell r="A140" t="str">
            <v>Cayman Isl</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Balance of payment statistics, all countries</v>
          </cell>
          <cell r="B1" t="str">
            <v>USD 2015</v>
          </cell>
        </row>
        <row r="2">
          <cell r="B2" t="str">
            <v>totaltrade Credit</v>
          </cell>
          <cell r="C2" t="str">
            <v>goods Credit</v>
          </cell>
          <cell r="D2" t="str">
            <v>services Credit</v>
          </cell>
          <cell r="E2" t="str">
            <v>DI grossprof Credit</v>
          </cell>
          <cell r="F2" t="str">
            <v>DI divd Credit</v>
          </cell>
          <cell r="G2" t="str">
            <v>DI reinvested Credit</v>
          </cell>
          <cell r="H2" t="str">
            <v>DI interest Credit</v>
          </cell>
          <cell r="I2" t="str">
            <v>PI divd Credit</v>
          </cell>
          <cell r="J2" t="str">
            <v>PI interest Credit</v>
          </cell>
          <cell r="K2" t="str">
            <v>Other Credit</v>
          </cell>
          <cell r="L2" t="str">
            <v>SI corpandhh Credit</v>
          </cell>
          <cell r="M2" t="str">
            <v>SI total Credit</v>
          </cell>
          <cell r="N2" t="str">
            <v>CA total Credit</v>
          </cell>
          <cell r="O2" t="str">
            <v>Primaryincome Other Credit</v>
          </cell>
          <cell r="P2" t="str">
            <v>desc in divd</v>
          </cell>
        </row>
        <row r="3">
          <cell r="A3" t="str">
            <v>Afghanistan, Islamic Republic of</v>
          </cell>
          <cell r="B3">
            <v>1316243759.5</v>
          </cell>
          <cell r="C3">
            <v>585036079.79999995</v>
          </cell>
          <cell r="D3">
            <v>731207679.79999995</v>
          </cell>
          <cell r="E3">
            <v>0</v>
          </cell>
          <cell r="F3">
            <v>0</v>
          </cell>
          <cell r="G3">
            <v>0</v>
          </cell>
          <cell r="H3">
            <v>0</v>
          </cell>
          <cell r="I3">
            <v>0</v>
          </cell>
          <cell r="J3">
            <v>21396954.699999999</v>
          </cell>
          <cell r="K3">
            <v>0</v>
          </cell>
          <cell r="L3">
            <v>145583377.80000001</v>
          </cell>
          <cell r="M3">
            <v>2245666286.6999998</v>
          </cell>
          <cell r="N3">
            <v>3755856232.5999999</v>
          </cell>
          <cell r="O3">
            <v>0</v>
          </cell>
          <cell r="P3">
            <v>0</v>
          </cell>
        </row>
        <row r="4">
          <cell r="A4" t="str">
            <v>Albania</v>
          </cell>
          <cell r="B4">
            <v>3105180000</v>
          </cell>
          <cell r="C4">
            <v>854710000</v>
          </cell>
          <cell r="D4">
            <v>2250460000</v>
          </cell>
          <cell r="E4">
            <v>17690000</v>
          </cell>
          <cell r="F4">
            <v>4810000</v>
          </cell>
          <cell r="G4">
            <v>12880000</v>
          </cell>
          <cell r="H4">
            <v>110000</v>
          </cell>
          <cell r="I4">
            <v>310000</v>
          </cell>
          <cell r="J4">
            <v>26670000</v>
          </cell>
          <cell r="K4">
            <v>25800000</v>
          </cell>
          <cell r="L4">
            <v>1003290000</v>
          </cell>
          <cell r="M4">
            <v>1021860000</v>
          </cell>
          <cell r="N4">
            <v>4298710000</v>
          </cell>
          <cell r="O4">
            <v>0</v>
          </cell>
          <cell r="P4">
            <v>0</v>
          </cell>
        </row>
        <row r="5">
          <cell r="A5" t="str">
            <v>Algeria</v>
          </cell>
          <cell r="B5">
            <v>37767773699.199997</v>
          </cell>
          <cell r="C5">
            <v>34312772669.200001</v>
          </cell>
          <cell r="D5">
            <v>3455001030</v>
          </cell>
          <cell r="E5">
            <v>72356424.599999994</v>
          </cell>
          <cell r="F5">
            <v>72356424.599999994</v>
          </cell>
          <cell r="G5">
            <v>0</v>
          </cell>
          <cell r="H5">
            <v>0</v>
          </cell>
          <cell r="I5">
            <v>0</v>
          </cell>
          <cell r="J5">
            <v>0</v>
          </cell>
          <cell r="K5">
            <v>67606513</v>
          </cell>
          <cell r="L5">
            <v>2990915080.5999999</v>
          </cell>
          <cell r="M5">
            <v>3194525942.3000002</v>
          </cell>
          <cell r="N5">
            <v>43137679218.199997</v>
          </cell>
          <cell r="O5">
            <v>30563037</v>
          </cell>
          <cell r="P5">
            <v>0</v>
          </cell>
        </row>
        <row r="6">
          <cell r="A6" t="str">
            <v>Angola</v>
          </cell>
          <cell r="B6">
            <v>34437293543.5</v>
          </cell>
          <cell r="C6">
            <v>33181130225.599998</v>
          </cell>
          <cell r="D6">
            <v>1256163317.9000001</v>
          </cell>
          <cell r="E6">
            <v>0</v>
          </cell>
          <cell r="F6">
            <v>0</v>
          </cell>
          <cell r="G6">
            <v>0</v>
          </cell>
          <cell r="H6">
            <v>0</v>
          </cell>
          <cell r="I6">
            <v>0</v>
          </cell>
          <cell r="J6">
            <v>0</v>
          </cell>
          <cell r="K6">
            <v>6887230</v>
          </cell>
          <cell r="L6">
            <v>11114711.6</v>
          </cell>
          <cell r="M6">
            <v>28220165.600000001</v>
          </cell>
          <cell r="N6">
            <v>34631867518.599998</v>
          </cell>
          <cell r="O6">
            <v>0</v>
          </cell>
          <cell r="P6">
            <v>0</v>
          </cell>
        </row>
        <row r="7">
          <cell r="A7" t="str">
            <v>Anguilla</v>
          </cell>
          <cell r="B7">
            <v>0</v>
          </cell>
          <cell r="C7">
            <v>0</v>
          </cell>
          <cell r="D7">
            <v>0</v>
          </cell>
          <cell r="E7">
            <v>0</v>
          </cell>
          <cell r="F7">
            <v>0</v>
          </cell>
          <cell r="G7">
            <v>0</v>
          </cell>
          <cell r="H7">
            <v>0</v>
          </cell>
          <cell r="I7">
            <v>0</v>
          </cell>
          <cell r="J7">
            <v>0</v>
          </cell>
          <cell r="K7">
            <v>0</v>
          </cell>
          <cell r="L7">
            <v>0</v>
          </cell>
          <cell r="M7">
            <v>0</v>
          </cell>
          <cell r="N7">
            <v>0</v>
          </cell>
          <cell r="O7">
            <v>0</v>
          </cell>
          <cell r="P7">
            <v>0</v>
          </cell>
        </row>
        <row r="8">
          <cell r="A8" t="str">
            <v>Antigua and Barbuda</v>
          </cell>
          <cell r="B8">
            <v>0</v>
          </cell>
          <cell r="C8">
            <v>0</v>
          </cell>
          <cell r="D8">
            <v>0</v>
          </cell>
          <cell r="E8">
            <v>0</v>
          </cell>
          <cell r="F8">
            <v>0</v>
          </cell>
          <cell r="G8">
            <v>0</v>
          </cell>
          <cell r="H8">
            <v>0</v>
          </cell>
          <cell r="I8">
            <v>0</v>
          </cell>
          <cell r="J8">
            <v>0</v>
          </cell>
          <cell r="K8">
            <v>0</v>
          </cell>
          <cell r="L8">
            <v>0</v>
          </cell>
          <cell r="M8">
            <v>0</v>
          </cell>
          <cell r="N8">
            <v>0</v>
          </cell>
          <cell r="O8">
            <v>0</v>
          </cell>
          <cell r="P8">
            <v>0</v>
          </cell>
        </row>
        <row r="9">
          <cell r="A9" t="str">
            <v>Argentina</v>
          </cell>
          <cell r="B9">
            <v>70032207472.899994</v>
          </cell>
          <cell r="C9">
            <v>56813107000</v>
          </cell>
          <cell r="D9">
            <v>13219100472.9</v>
          </cell>
          <cell r="E9">
            <v>647416947.39999998</v>
          </cell>
          <cell r="F9">
            <v>40825124.200000003</v>
          </cell>
          <cell r="G9">
            <v>606591823.20000005</v>
          </cell>
          <cell r="H9">
            <v>0</v>
          </cell>
          <cell r="I9">
            <v>774589.4</v>
          </cell>
          <cell r="J9">
            <v>13007690.6</v>
          </cell>
          <cell r="K9">
            <v>1457893320.5</v>
          </cell>
          <cell r="L9">
            <v>1378086900.2</v>
          </cell>
          <cell r="M9">
            <v>2563736401.8000002</v>
          </cell>
          <cell r="N9">
            <v>74955306451.100006</v>
          </cell>
          <cell r="O9">
            <v>0</v>
          </cell>
          <cell r="P9">
            <v>0</v>
          </cell>
        </row>
        <row r="10">
          <cell r="A10" t="str">
            <v>Armenia, Republic of</v>
          </cell>
          <cell r="B10">
            <v>3136322622.5999999</v>
          </cell>
          <cell r="C10">
            <v>1623898609.2</v>
          </cell>
          <cell r="D10">
            <v>1512424013.4000001</v>
          </cell>
          <cell r="E10">
            <v>0</v>
          </cell>
          <cell r="F10">
            <v>0</v>
          </cell>
          <cell r="G10">
            <v>0</v>
          </cell>
          <cell r="H10">
            <v>683994.6</v>
          </cell>
          <cell r="I10">
            <v>68884.899999999994</v>
          </cell>
          <cell r="J10">
            <v>11148232.800000001</v>
          </cell>
          <cell r="K10">
            <v>31666491.800000001</v>
          </cell>
          <cell r="L10">
            <v>680614622.20000005</v>
          </cell>
          <cell r="M10">
            <v>904089593.60000002</v>
          </cell>
          <cell r="N10">
            <v>4926343373.8999996</v>
          </cell>
          <cell r="O10">
            <v>0</v>
          </cell>
          <cell r="P10">
            <v>0</v>
          </cell>
        </row>
        <row r="11">
          <cell r="A11" t="str">
            <v>Aruba</v>
          </cell>
          <cell r="B11">
            <v>2421173184.4000001</v>
          </cell>
          <cell r="C11">
            <v>334078212.30000001</v>
          </cell>
          <cell r="D11">
            <v>2087094972.0999999</v>
          </cell>
          <cell r="E11">
            <v>0</v>
          </cell>
          <cell r="F11">
            <v>0</v>
          </cell>
          <cell r="G11">
            <v>0</v>
          </cell>
          <cell r="H11">
            <v>0</v>
          </cell>
          <cell r="I11">
            <v>10167597.800000001</v>
          </cell>
          <cell r="J11">
            <v>12960893.9</v>
          </cell>
          <cell r="K11">
            <v>10055865.9</v>
          </cell>
          <cell r="L11">
            <v>71564245.799999997</v>
          </cell>
          <cell r="M11">
            <v>96648044.700000003</v>
          </cell>
          <cell r="N11">
            <v>2566480446.9000001</v>
          </cell>
          <cell r="O11">
            <v>0</v>
          </cell>
          <cell r="P11">
            <v>0</v>
          </cell>
        </row>
        <row r="12">
          <cell r="A12" t="str">
            <v>Australia</v>
          </cell>
          <cell r="B12">
            <v>237375980446.29999</v>
          </cell>
          <cell r="C12">
            <v>188337252440.60001</v>
          </cell>
          <cell r="D12">
            <v>49038728005.699997</v>
          </cell>
          <cell r="E12">
            <v>13237718415.9</v>
          </cell>
          <cell r="F12">
            <v>9148512299.5</v>
          </cell>
          <cell r="G12">
            <v>4089206116.4000001</v>
          </cell>
          <cell r="H12">
            <v>691514281.70000005</v>
          </cell>
          <cell r="I12">
            <v>12727618480.5</v>
          </cell>
          <cell r="J12">
            <v>5994051653.1000004</v>
          </cell>
          <cell r="K12">
            <v>2902869361.1999998</v>
          </cell>
          <cell r="L12">
            <v>4884281618.5</v>
          </cell>
          <cell r="M12">
            <v>6379750564.8000002</v>
          </cell>
          <cell r="N12">
            <v>282162563837.20001</v>
          </cell>
          <cell r="O12">
            <v>420711991.30000001</v>
          </cell>
          <cell r="P12">
            <v>0</v>
          </cell>
        </row>
        <row r="13">
          <cell r="A13" t="str">
            <v>Austria</v>
          </cell>
          <cell r="B13">
            <v>200265283924.70001</v>
          </cell>
          <cell r="C13">
            <v>142117586887.5</v>
          </cell>
          <cell r="D13">
            <v>58147697037.199997</v>
          </cell>
          <cell r="E13">
            <v>15291644895</v>
          </cell>
          <cell r="F13">
            <v>10010610913.4</v>
          </cell>
          <cell r="G13">
            <v>5281033981.6000004</v>
          </cell>
          <cell r="H13">
            <v>1690488918.8</v>
          </cell>
          <cell r="I13">
            <v>2140509801.2</v>
          </cell>
          <cell r="J13">
            <v>5971808001.8999996</v>
          </cell>
          <cell r="K13">
            <v>2701840152.0999999</v>
          </cell>
          <cell r="L13">
            <v>3565989046.6999998</v>
          </cell>
          <cell r="M13">
            <v>4878411703.5</v>
          </cell>
          <cell r="N13">
            <v>236800138887.20001</v>
          </cell>
          <cell r="O13">
            <v>1025745726.1</v>
          </cell>
          <cell r="P13">
            <v>0</v>
          </cell>
        </row>
        <row r="14">
          <cell r="A14" t="str">
            <v>Azerbaijan, Republic of</v>
          </cell>
          <cell r="B14">
            <v>20030038000</v>
          </cell>
          <cell r="C14">
            <v>15586052000</v>
          </cell>
          <cell r="D14">
            <v>4443986000</v>
          </cell>
          <cell r="E14">
            <v>442682000</v>
          </cell>
          <cell r="F14">
            <v>442682000</v>
          </cell>
          <cell r="G14">
            <v>0</v>
          </cell>
          <cell r="H14">
            <v>0</v>
          </cell>
          <cell r="I14">
            <v>617244000</v>
          </cell>
          <cell r="J14">
            <v>0</v>
          </cell>
          <cell r="K14">
            <v>110198000</v>
          </cell>
          <cell r="L14">
            <v>1189765000</v>
          </cell>
          <cell r="M14">
            <v>1227020000</v>
          </cell>
          <cell r="N14">
            <v>22515303000</v>
          </cell>
          <cell r="O14">
            <v>573000</v>
          </cell>
          <cell r="P14">
            <v>0</v>
          </cell>
        </row>
        <row r="15">
          <cell r="A15" t="str">
            <v>Bahamas, The</v>
          </cell>
          <cell r="B15">
            <v>3416036338.5999999</v>
          </cell>
          <cell r="C15">
            <v>520531829.19999999</v>
          </cell>
          <cell r="D15">
            <v>2895504509.4000001</v>
          </cell>
          <cell r="E15">
            <v>0</v>
          </cell>
          <cell r="F15">
            <v>0</v>
          </cell>
          <cell r="G15">
            <v>0</v>
          </cell>
          <cell r="H15">
            <v>0</v>
          </cell>
          <cell r="I15">
            <v>0</v>
          </cell>
          <cell r="J15">
            <v>0</v>
          </cell>
          <cell r="K15">
            <v>44358964.600000001</v>
          </cell>
          <cell r="L15">
            <v>62926000</v>
          </cell>
          <cell r="M15">
            <v>209189844</v>
          </cell>
          <cell r="N15">
            <v>3669585147.1999998</v>
          </cell>
          <cell r="O15">
            <v>0</v>
          </cell>
          <cell r="P15">
            <v>0</v>
          </cell>
        </row>
        <row r="16">
          <cell r="A16" t="str">
            <v>Bahrain, Kingdom of</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Bangladesh</v>
          </cell>
          <cell r="B17">
            <v>34969256093.900002</v>
          </cell>
          <cell r="C17">
            <v>31736035719.200001</v>
          </cell>
          <cell r="D17">
            <v>3233220374.6999998</v>
          </cell>
          <cell r="E17">
            <v>13700771.199999999</v>
          </cell>
          <cell r="F17">
            <v>2994207</v>
          </cell>
          <cell r="G17">
            <v>10706564.199999999</v>
          </cell>
          <cell r="H17">
            <v>1052052.3999999999</v>
          </cell>
          <cell r="I17">
            <v>0</v>
          </cell>
          <cell r="J17">
            <v>0</v>
          </cell>
          <cell r="K17">
            <v>2719477.7</v>
          </cell>
          <cell r="L17">
            <v>15793788297.9</v>
          </cell>
          <cell r="M17">
            <v>15857520079.5</v>
          </cell>
          <cell r="N17">
            <v>50965473729</v>
          </cell>
          <cell r="O17">
            <v>17361160.399999999</v>
          </cell>
          <cell r="P17">
            <v>0</v>
          </cell>
        </row>
        <row r="18">
          <cell r="A18" t="str">
            <v>Barbados</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row>
        <row r="19">
          <cell r="A19" t="str">
            <v>Belarus</v>
          </cell>
          <cell r="B19">
            <v>32797800000</v>
          </cell>
          <cell r="C19">
            <v>26164300000</v>
          </cell>
          <cell r="D19">
            <v>6633500000</v>
          </cell>
          <cell r="E19">
            <v>48100000</v>
          </cell>
          <cell r="F19">
            <v>44400000</v>
          </cell>
          <cell r="G19">
            <v>3700000</v>
          </cell>
          <cell r="H19">
            <v>1000000</v>
          </cell>
          <cell r="I19">
            <v>11100000</v>
          </cell>
          <cell r="J19">
            <v>16200000</v>
          </cell>
          <cell r="K19">
            <v>45300000</v>
          </cell>
          <cell r="L19">
            <v>705900000</v>
          </cell>
          <cell r="M19">
            <v>1400600000</v>
          </cell>
          <cell r="N19">
            <v>34801900000</v>
          </cell>
          <cell r="O19">
            <v>56400000</v>
          </cell>
          <cell r="P19">
            <v>0</v>
          </cell>
        </row>
        <row r="20">
          <cell r="A20" t="str">
            <v>Belgium</v>
          </cell>
          <cell r="B20">
            <v>367799032238.20001</v>
          </cell>
          <cell r="C20">
            <v>254776213287.20001</v>
          </cell>
          <cell r="D20">
            <v>113022818951</v>
          </cell>
          <cell r="E20">
            <v>10032139890.9</v>
          </cell>
          <cell r="F20">
            <v>10525065080.5</v>
          </cell>
          <cell r="G20">
            <v>-492925189.60000002</v>
          </cell>
          <cell r="H20">
            <v>11116362892.4</v>
          </cell>
          <cell r="I20">
            <v>6662735061.8999996</v>
          </cell>
          <cell r="J20">
            <v>11003072231.200001</v>
          </cell>
          <cell r="K20">
            <v>254958816.59999999</v>
          </cell>
          <cell r="L20">
            <v>6053034359</v>
          </cell>
          <cell r="M20">
            <v>8552800952.8000002</v>
          </cell>
          <cell r="N20">
            <v>427410000257</v>
          </cell>
          <cell r="O20">
            <v>1543780575.2</v>
          </cell>
          <cell r="P20">
            <v>-643272960</v>
          </cell>
        </row>
        <row r="21">
          <cell r="A21" t="str">
            <v>Belize</v>
          </cell>
          <cell r="B21">
            <v>1033644192</v>
          </cell>
          <cell r="C21">
            <v>537911604.89999998</v>
          </cell>
          <cell r="D21">
            <v>495732587.10000002</v>
          </cell>
          <cell r="E21">
            <v>1210522.3</v>
          </cell>
          <cell r="F21">
            <v>1210522.3</v>
          </cell>
          <cell r="G21">
            <v>0</v>
          </cell>
          <cell r="H21">
            <v>0</v>
          </cell>
          <cell r="I21">
            <v>0</v>
          </cell>
          <cell r="J21">
            <v>1894225</v>
          </cell>
          <cell r="K21">
            <v>1813046.1</v>
          </cell>
          <cell r="L21">
            <v>109857095.7</v>
          </cell>
          <cell r="M21">
            <v>109857095.7</v>
          </cell>
          <cell r="N21">
            <v>1150776590.5999999</v>
          </cell>
          <cell r="O21">
            <v>0</v>
          </cell>
          <cell r="P21">
            <v>0</v>
          </cell>
        </row>
        <row r="22">
          <cell r="A22" t="str">
            <v>Benin</v>
          </cell>
          <cell r="B22">
            <v>2033725085.0999999</v>
          </cell>
          <cell r="C22">
            <v>1682479260.5</v>
          </cell>
          <cell r="D22">
            <v>351245824.60000002</v>
          </cell>
          <cell r="E22">
            <v>-1699215.2</v>
          </cell>
          <cell r="F22">
            <v>1680109.6</v>
          </cell>
          <cell r="G22">
            <v>-3379324.8</v>
          </cell>
          <cell r="H22">
            <v>2029995.8</v>
          </cell>
          <cell r="I22">
            <v>3267751.5</v>
          </cell>
          <cell r="J22">
            <v>64350294.5</v>
          </cell>
          <cell r="K22">
            <v>11030290.699999999</v>
          </cell>
          <cell r="L22">
            <v>199824682.40000001</v>
          </cell>
          <cell r="M22">
            <v>236433217.40000001</v>
          </cell>
          <cell r="N22">
            <v>2366797152.1999998</v>
          </cell>
          <cell r="O22">
            <v>152168.5</v>
          </cell>
          <cell r="P22">
            <v>0</v>
          </cell>
        </row>
        <row r="23">
          <cell r="A23" t="str">
            <v>Bermuda</v>
          </cell>
          <cell r="B23">
            <v>1316095868.3</v>
          </cell>
          <cell r="C23">
            <v>21438542.399999999</v>
          </cell>
          <cell r="D23">
            <v>1294657325.8</v>
          </cell>
          <cell r="E23">
            <v>100230156.90000001</v>
          </cell>
          <cell r="F23">
            <v>110235414.90000001</v>
          </cell>
          <cell r="G23">
            <v>-10005258</v>
          </cell>
          <cell r="H23">
            <v>8141928</v>
          </cell>
          <cell r="I23">
            <v>44554957.399999999</v>
          </cell>
          <cell r="J23">
            <v>138738471.5</v>
          </cell>
          <cell r="K23">
            <v>47308048.399999999</v>
          </cell>
          <cell r="L23">
            <v>118248126.2</v>
          </cell>
          <cell r="M23">
            <v>128158529.5</v>
          </cell>
          <cell r="N23">
            <v>3381200374.4000001</v>
          </cell>
          <cell r="O23">
            <v>154081765.30000001</v>
          </cell>
          <cell r="P23">
            <v>0</v>
          </cell>
        </row>
        <row r="24">
          <cell r="A24" t="str">
            <v>Bhutan</v>
          </cell>
          <cell r="B24">
            <v>706869335.29999995</v>
          </cell>
          <cell r="C24">
            <v>581541423.5</v>
          </cell>
          <cell r="D24">
            <v>125327911.8</v>
          </cell>
          <cell r="E24">
            <v>0</v>
          </cell>
          <cell r="F24">
            <v>0</v>
          </cell>
          <cell r="G24">
            <v>0</v>
          </cell>
          <cell r="H24">
            <v>0</v>
          </cell>
          <cell r="I24">
            <v>0</v>
          </cell>
          <cell r="J24">
            <v>0</v>
          </cell>
          <cell r="K24">
            <v>24903467.600000001</v>
          </cell>
          <cell r="L24">
            <v>26357809.5</v>
          </cell>
          <cell r="M24">
            <v>110966756.09999999</v>
          </cell>
          <cell r="N24">
            <v>844448767.20000005</v>
          </cell>
          <cell r="O24">
            <v>0</v>
          </cell>
          <cell r="P24">
            <v>0</v>
          </cell>
        </row>
        <row r="25">
          <cell r="A25" t="str">
            <v>Bolivia</v>
          </cell>
          <cell r="B25">
            <v>9916225297.2000008</v>
          </cell>
          <cell r="C25">
            <v>8672830495.8999996</v>
          </cell>
          <cell r="D25">
            <v>1243394801.4000001</v>
          </cell>
          <cell r="E25">
            <v>0</v>
          </cell>
          <cell r="F25">
            <v>0</v>
          </cell>
          <cell r="G25">
            <v>0</v>
          </cell>
          <cell r="H25">
            <v>7003286.7999999998</v>
          </cell>
          <cell r="I25">
            <v>0</v>
          </cell>
          <cell r="J25">
            <v>13759579.9</v>
          </cell>
          <cell r="K25">
            <v>15937872.800000001</v>
          </cell>
          <cell r="L25">
            <v>1249244926.7</v>
          </cell>
          <cell r="M25">
            <v>1384355856.2</v>
          </cell>
          <cell r="N25">
            <v>11411686491.1</v>
          </cell>
          <cell r="O25">
            <v>0</v>
          </cell>
          <cell r="P25">
            <v>0</v>
          </cell>
        </row>
        <row r="26">
          <cell r="A26" t="str">
            <v>Bosnia and Herzegovina</v>
          </cell>
          <cell r="B26">
            <v>5603800298.3999996</v>
          </cell>
          <cell r="C26">
            <v>3949923546.8000002</v>
          </cell>
          <cell r="D26">
            <v>1653876751.7</v>
          </cell>
          <cell r="E26">
            <v>794941.9</v>
          </cell>
          <cell r="F26">
            <v>271150</v>
          </cell>
          <cell r="G26">
            <v>523792</v>
          </cell>
          <cell r="H26">
            <v>565533.4</v>
          </cell>
          <cell r="I26">
            <v>40832.5</v>
          </cell>
          <cell r="J26">
            <v>0</v>
          </cell>
          <cell r="K26">
            <v>18376193.800000001</v>
          </cell>
          <cell r="L26">
            <v>2016273048.9000001</v>
          </cell>
          <cell r="M26">
            <v>2245652000.6999998</v>
          </cell>
          <cell r="N26">
            <v>8377911196</v>
          </cell>
          <cell r="O26">
            <v>25235743.699999999</v>
          </cell>
          <cell r="P26">
            <v>0</v>
          </cell>
        </row>
        <row r="27">
          <cell r="A27" t="str">
            <v>Botswana</v>
          </cell>
          <cell r="B27">
            <v>7647871760</v>
          </cell>
          <cell r="C27">
            <v>6286419664.3000002</v>
          </cell>
          <cell r="D27">
            <v>1361452095.7</v>
          </cell>
          <cell r="E27">
            <v>4720272.4000000004</v>
          </cell>
          <cell r="F27">
            <v>888537.7</v>
          </cell>
          <cell r="G27">
            <v>3831734.8</v>
          </cell>
          <cell r="H27">
            <v>0</v>
          </cell>
          <cell r="I27">
            <v>181034610.30000001</v>
          </cell>
          <cell r="J27">
            <v>0</v>
          </cell>
          <cell r="K27">
            <v>0</v>
          </cell>
          <cell r="L27">
            <v>174761109</v>
          </cell>
          <cell r="M27">
            <v>1769477547.4000001</v>
          </cell>
          <cell r="N27">
            <v>9630161255.3999996</v>
          </cell>
          <cell r="O27">
            <v>0</v>
          </cell>
          <cell r="P27">
            <v>0</v>
          </cell>
        </row>
        <row r="28">
          <cell r="A28" t="str">
            <v>Brazil</v>
          </cell>
          <cell r="B28">
            <v>223869590906.70001</v>
          </cell>
          <cell r="C28">
            <v>190092053815.60001</v>
          </cell>
          <cell r="D28">
            <v>33777537091</v>
          </cell>
          <cell r="E28">
            <v>7172762198.1999998</v>
          </cell>
          <cell r="F28">
            <v>2666924466.4000001</v>
          </cell>
          <cell r="G28">
            <v>4505837731.8000002</v>
          </cell>
          <cell r="H28">
            <v>116290951.3</v>
          </cell>
          <cell r="I28">
            <v>107017640.7</v>
          </cell>
          <cell r="J28">
            <v>353955305.5</v>
          </cell>
          <cell r="K28">
            <v>1170276172.5</v>
          </cell>
          <cell r="L28">
            <v>4433599088</v>
          </cell>
          <cell r="M28">
            <v>4712453157.3000002</v>
          </cell>
          <cell r="N28">
            <v>240512728586.79999</v>
          </cell>
          <cell r="O28">
            <v>0</v>
          </cell>
          <cell r="P28">
            <v>0</v>
          </cell>
        </row>
        <row r="29">
          <cell r="A29" t="str">
            <v>Brunei Darussalam</v>
          </cell>
          <cell r="B29">
            <v>6773193238.1999998</v>
          </cell>
          <cell r="C29">
            <v>6125471665.5</v>
          </cell>
          <cell r="D29">
            <v>647721572.70000005</v>
          </cell>
          <cell r="E29">
            <v>0</v>
          </cell>
          <cell r="F29">
            <v>0</v>
          </cell>
          <cell r="G29">
            <v>0</v>
          </cell>
          <cell r="H29">
            <v>0</v>
          </cell>
          <cell r="I29">
            <v>0</v>
          </cell>
          <cell r="J29">
            <v>0</v>
          </cell>
          <cell r="K29">
            <v>0</v>
          </cell>
          <cell r="L29">
            <v>0</v>
          </cell>
          <cell r="M29">
            <v>71209468</v>
          </cell>
          <cell r="N29">
            <v>7941063522.6000004</v>
          </cell>
          <cell r="O29">
            <v>0</v>
          </cell>
          <cell r="P29">
            <v>0</v>
          </cell>
        </row>
        <row r="30">
          <cell r="A30" t="str">
            <v>Bulgaria</v>
          </cell>
          <cell r="B30">
            <v>32040450000</v>
          </cell>
          <cell r="C30">
            <v>24306020000</v>
          </cell>
          <cell r="D30">
            <v>7734430000</v>
          </cell>
          <cell r="E30">
            <v>-10750000</v>
          </cell>
          <cell r="F30">
            <v>7930000</v>
          </cell>
          <cell r="G30">
            <v>-18680000</v>
          </cell>
          <cell r="H30">
            <v>48390000</v>
          </cell>
          <cell r="I30">
            <v>15740000</v>
          </cell>
          <cell r="J30">
            <v>350330000</v>
          </cell>
          <cell r="K30">
            <v>79660000</v>
          </cell>
          <cell r="L30">
            <v>1147850000</v>
          </cell>
          <cell r="M30">
            <v>2649350000</v>
          </cell>
          <cell r="N30">
            <v>35767000000</v>
          </cell>
          <cell r="O30">
            <v>17480000</v>
          </cell>
          <cell r="P30">
            <v>0</v>
          </cell>
        </row>
        <row r="31">
          <cell r="A31" t="str">
            <v>Burkina Faso</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Burundi</v>
          </cell>
          <cell r="B32">
            <v>178127041.69999999</v>
          </cell>
          <cell r="C32">
            <v>120838349.40000001</v>
          </cell>
          <cell r="D32">
            <v>57288692.299999997</v>
          </cell>
          <cell r="E32">
            <v>3180.9</v>
          </cell>
          <cell r="F32">
            <v>3180.9</v>
          </cell>
          <cell r="G32">
            <v>0</v>
          </cell>
          <cell r="H32">
            <v>0</v>
          </cell>
          <cell r="I32">
            <v>0</v>
          </cell>
          <cell r="J32">
            <v>115274.6</v>
          </cell>
          <cell r="K32">
            <v>914435.7</v>
          </cell>
          <cell r="L32">
            <v>196029599</v>
          </cell>
          <cell r="M32">
            <v>307608443.69999999</v>
          </cell>
          <cell r="N32">
            <v>500018470.19999999</v>
          </cell>
          <cell r="O32">
            <v>0</v>
          </cell>
          <cell r="P32">
            <v>0</v>
          </cell>
        </row>
        <row r="33">
          <cell r="A33" t="str">
            <v>Cambodia</v>
          </cell>
          <cell r="B33">
            <v>12407908148.700001</v>
          </cell>
          <cell r="C33">
            <v>8453178317</v>
          </cell>
          <cell r="D33">
            <v>3954729831.8000002</v>
          </cell>
          <cell r="E33">
            <v>1366418.8</v>
          </cell>
          <cell r="F33">
            <v>1366418.8</v>
          </cell>
          <cell r="G33">
            <v>0</v>
          </cell>
          <cell r="H33">
            <v>778503.1</v>
          </cell>
          <cell r="I33">
            <v>25031.7</v>
          </cell>
          <cell r="J33">
            <v>70629.7</v>
          </cell>
          <cell r="K33">
            <v>6599583.9000000004</v>
          </cell>
          <cell r="L33">
            <v>637802936.70000005</v>
          </cell>
          <cell r="M33">
            <v>991904447.70000005</v>
          </cell>
          <cell r="N33">
            <v>13527589645.200001</v>
          </cell>
          <cell r="O33">
            <v>0</v>
          </cell>
          <cell r="P33">
            <v>0</v>
          </cell>
        </row>
        <row r="34">
          <cell r="A34" t="str">
            <v>Cameroon</v>
          </cell>
          <cell r="B34">
            <v>6732950065</v>
          </cell>
          <cell r="C34">
            <v>5217013389.8000002</v>
          </cell>
          <cell r="D34">
            <v>1515936675.3</v>
          </cell>
          <cell r="E34">
            <v>83050200.200000003</v>
          </cell>
          <cell r="F34">
            <v>65432466.399999999</v>
          </cell>
          <cell r="G34">
            <v>17617733.800000001</v>
          </cell>
          <cell r="H34">
            <v>0</v>
          </cell>
          <cell r="I34">
            <v>262068</v>
          </cell>
          <cell r="J34">
            <v>6002203</v>
          </cell>
          <cell r="K34">
            <v>14498279</v>
          </cell>
          <cell r="L34">
            <v>471553355.69999999</v>
          </cell>
          <cell r="M34">
            <v>586863283.5</v>
          </cell>
          <cell r="N34">
            <v>7502077428</v>
          </cell>
          <cell r="O34">
            <v>0</v>
          </cell>
          <cell r="P34">
            <v>0</v>
          </cell>
        </row>
        <row r="35">
          <cell r="A35" t="str">
            <v>Canada</v>
          </cell>
          <cell r="B35">
            <v>490767623833.40002</v>
          </cell>
          <cell r="C35">
            <v>410742666384.20001</v>
          </cell>
          <cell r="D35">
            <v>80024955936.800003</v>
          </cell>
          <cell r="E35">
            <v>36273446062.400002</v>
          </cell>
          <cell r="F35">
            <v>11853934274.6</v>
          </cell>
          <cell r="G35">
            <v>24419511787.900002</v>
          </cell>
          <cell r="H35">
            <v>4273099231.5</v>
          </cell>
          <cell r="I35">
            <v>15832863845.1</v>
          </cell>
          <cell r="J35">
            <v>7044412548.1999998</v>
          </cell>
          <cell r="K35">
            <v>6532794297.6000004</v>
          </cell>
          <cell r="L35">
            <v>2885347838.5</v>
          </cell>
          <cell r="M35">
            <v>8718625164.7000008</v>
          </cell>
          <cell r="N35">
            <v>570766201085.09998</v>
          </cell>
          <cell r="O35">
            <v>0</v>
          </cell>
          <cell r="P35">
            <v>0</v>
          </cell>
        </row>
        <row r="36">
          <cell r="A36" t="str">
            <v>Cape Verde</v>
          </cell>
          <cell r="B36">
            <v>669107175.39999998</v>
          </cell>
          <cell r="C36">
            <v>149254970.5</v>
          </cell>
          <cell r="D36">
            <v>519852205</v>
          </cell>
          <cell r="E36">
            <v>0</v>
          </cell>
          <cell r="F36">
            <v>0</v>
          </cell>
          <cell r="G36">
            <v>0</v>
          </cell>
          <cell r="H36">
            <v>0</v>
          </cell>
          <cell r="I36">
            <v>0</v>
          </cell>
          <cell r="J36">
            <v>0</v>
          </cell>
          <cell r="K36">
            <v>9451457.0999999996</v>
          </cell>
          <cell r="L36">
            <v>224209384.80000001</v>
          </cell>
          <cell r="M36">
            <v>280177598</v>
          </cell>
          <cell r="N36">
            <v>961658680.39999998</v>
          </cell>
          <cell r="O36">
            <v>0</v>
          </cell>
          <cell r="P36">
            <v>0</v>
          </cell>
        </row>
        <row r="37">
          <cell r="A37" t="str">
            <v>Central African Republic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Chad</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Chile</v>
          </cell>
          <cell r="B39">
            <v>71819583921</v>
          </cell>
          <cell r="C39">
            <v>62183147056.800003</v>
          </cell>
          <cell r="D39">
            <v>9636436864.2000008</v>
          </cell>
          <cell r="E39">
            <v>4220261173</v>
          </cell>
          <cell r="F39">
            <v>686344414</v>
          </cell>
          <cell r="G39">
            <v>3533916759</v>
          </cell>
          <cell r="H39">
            <v>408636862</v>
          </cell>
          <cell r="I39">
            <v>2493941657.4000001</v>
          </cell>
          <cell r="J39">
            <v>835442533.89999998</v>
          </cell>
          <cell r="K39">
            <v>608627085.60000002</v>
          </cell>
          <cell r="L39">
            <v>1684202066.5999999</v>
          </cell>
          <cell r="M39">
            <v>3785079565.4000001</v>
          </cell>
          <cell r="N39">
            <v>84275757669.399994</v>
          </cell>
          <cell r="O39">
            <v>0</v>
          </cell>
          <cell r="P39">
            <v>0</v>
          </cell>
        </row>
        <row r="40">
          <cell r="A40" t="str">
            <v>China, P.R.: Hong Kong</v>
          </cell>
          <cell r="B40">
            <v>606083932210</v>
          </cell>
          <cell r="C40">
            <v>501727778223.79999</v>
          </cell>
          <cell r="D40">
            <v>104356153986.2</v>
          </cell>
          <cell r="E40">
            <v>119444799548.7</v>
          </cell>
          <cell r="F40">
            <v>47718869126.5</v>
          </cell>
          <cell r="G40">
            <v>71725930422.199997</v>
          </cell>
          <cell r="H40">
            <v>2239739838.5999999</v>
          </cell>
          <cell r="I40">
            <v>20357910524</v>
          </cell>
          <cell r="J40">
            <v>10825142570.200001</v>
          </cell>
          <cell r="K40">
            <v>0</v>
          </cell>
          <cell r="L40">
            <v>1245011749.8</v>
          </cell>
          <cell r="M40">
            <v>1245011749.8</v>
          </cell>
          <cell r="N40">
            <v>771737435420.59998</v>
          </cell>
          <cell r="O40">
            <v>0</v>
          </cell>
          <cell r="P40">
            <v>0</v>
          </cell>
        </row>
        <row r="41">
          <cell r="A41" t="str">
            <v>China, P.R.: Macao</v>
          </cell>
          <cell r="B41">
            <v>35302435911.599998</v>
          </cell>
          <cell r="C41">
            <v>1959069011.5999999</v>
          </cell>
          <cell r="D41">
            <v>33343366900</v>
          </cell>
          <cell r="E41">
            <v>102661360.90000001</v>
          </cell>
          <cell r="F41">
            <v>11716526.5</v>
          </cell>
          <cell r="G41">
            <v>90944834.400000006</v>
          </cell>
          <cell r="H41">
            <v>14863192</v>
          </cell>
          <cell r="I41">
            <v>569450220.89999998</v>
          </cell>
          <cell r="J41">
            <v>1233152891.9000001</v>
          </cell>
          <cell r="K41">
            <v>2523826686</v>
          </cell>
          <cell r="L41">
            <v>91663146.900000006</v>
          </cell>
          <cell r="M41">
            <v>91663146.900000006</v>
          </cell>
          <cell r="N41">
            <v>39991991955.400002</v>
          </cell>
          <cell r="O41">
            <v>0</v>
          </cell>
          <cell r="P41">
            <v>0</v>
          </cell>
        </row>
        <row r="42">
          <cell r="A42" t="str">
            <v>China, P.R.: Mainland</v>
          </cell>
          <cell r="B42">
            <v>2400000000000</v>
          </cell>
          <cell r="C42">
            <v>2100000000000</v>
          </cell>
          <cell r="D42">
            <v>217399035856.79999</v>
          </cell>
          <cell r="E42">
            <v>0</v>
          </cell>
          <cell r="F42">
            <v>0</v>
          </cell>
          <cell r="G42">
            <v>0</v>
          </cell>
          <cell r="H42">
            <v>0</v>
          </cell>
          <cell r="I42">
            <v>0</v>
          </cell>
          <cell r="J42">
            <v>0</v>
          </cell>
          <cell r="K42">
            <v>0</v>
          </cell>
          <cell r="L42">
            <v>11340621327.700001</v>
          </cell>
          <cell r="M42">
            <v>35938364729.5</v>
          </cell>
          <cell r="N42">
            <v>2600000000000</v>
          </cell>
          <cell r="O42">
            <v>826389522</v>
          </cell>
          <cell r="P42">
            <v>0</v>
          </cell>
        </row>
        <row r="43">
          <cell r="A43" t="str">
            <v>Colombia</v>
          </cell>
          <cell r="B43">
            <v>45699264580</v>
          </cell>
          <cell r="C43">
            <v>38275354668.699997</v>
          </cell>
          <cell r="D43">
            <v>7423909911.3000002</v>
          </cell>
          <cell r="E43">
            <v>3533121320</v>
          </cell>
          <cell r="F43">
            <v>1654716720</v>
          </cell>
          <cell r="G43">
            <v>1878404600</v>
          </cell>
          <cell r="H43">
            <v>28459282.699999999</v>
          </cell>
          <cell r="I43">
            <v>0</v>
          </cell>
          <cell r="J43">
            <v>412906613.39999998</v>
          </cell>
          <cell r="K43">
            <v>13147543.699999999</v>
          </cell>
          <cell r="L43">
            <v>6060784534.3000002</v>
          </cell>
          <cell r="M43">
            <v>6243244275.8999996</v>
          </cell>
          <cell r="N43">
            <v>56426388537.099998</v>
          </cell>
          <cell r="O43">
            <v>0</v>
          </cell>
          <cell r="P43">
            <v>0</v>
          </cell>
        </row>
        <row r="44">
          <cell r="A44" t="str">
            <v>Comoros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A45" t="str">
            <v>Congo, Democratic Republic of</v>
          </cell>
          <cell r="B45">
            <v>10458122394.700001</v>
          </cell>
          <cell r="C45">
            <v>10284773560</v>
          </cell>
          <cell r="D45">
            <v>173348834.69999999</v>
          </cell>
          <cell r="E45">
            <v>0</v>
          </cell>
          <cell r="F45">
            <v>0</v>
          </cell>
          <cell r="G45">
            <v>0</v>
          </cell>
          <cell r="H45">
            <v>0</v>
          </cell>
          <cell r="I45">
            <v>0</v>
          </cell>
          <cell r="J45">
            <v>0</v>
          </cell>
          <cell r="K45">
            <v>630452.4</v>
          </cell>
          <cell r="L45">
            <v>497192935.60000002</v>
          </cell>
          <cell r="M45">
            <v>1886989445.7</v>
          </cell>
          <cell r="N45">
            <v>12350459677</v>
          </cell>
          <cell r="O45">
            <v>0</v>
          </cell>
          <cell r="P45">
            <v>0</v>
          </cell>
        </row>
        <row r="46">
          <cell r="A46" t="str">
            <v>Congo, Republic of</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A47" t="str">
            <v>Costa Rica</v>
          </cell>
          <cell r="B47">
            <v>17125339013.4</v>
          </cell>
          <cell r="C47">
            <v>9431742383.5</v>
          </cell>
          <cell r="D47">
            <v>7693596629.8999996</v>
          </cell>
          <cell r="E47">
            <v>73137380.299999997</v>
          </cell>
          <cell r="F47">
            <v>32629442.699999999</v>
          </cell>
          <cell r="G47">
            <v>40507937.600000001</v>
          </cell>
          <cell r="H47">
            <v>1748660</v>
          </cell>
          <cell r="I47">
            <v>0</v>
          </cell>
          <cell r="J47">
            <v>83086562.299999997</v>
          </cell>
          <cell r="K47">
            <v>50723006.5</v>
          </cell>
          <cell r="L47">
            <v>623728327.20000005</v>
          </cell>
          <cell r="M47">
            <v>857303732.89999998</v>
          </cell>
          <cell r="N47">
            <v>18262455452.799999</v>
          </cell>
          <cell r="O47">
            <v>0</v>
          </cell>
          <cell r="P47">
            <v>0</v>
          </cell>
        </row>
        <row r="48">
          <cell r="A48" t="str">
            <v>Cote d'Ivoire</v>
          </cell>
          <cell r="B48">
            <v>12496385721.1</v>
          </cell>
          <cell r="C48">
            <v>11730529062.700001</v>
          </cell>
          <cell r="D48">
            <v>765856658.29999995</v>
          </cell>
          <cell r="E48">
            <v>3822084.5</v>
          </cell>
          <cell r="F48">
            <v>2846684.3</v>
          </cell>
          <cell r="G48">
            <v>975400.3</v>
          </cell>
          <cell r="H48">
            <v>11914542</v>
          </cell>
          <cell r="I48">
            <v>1211734.8999999999</v>
          </cell>
          <cell r="J48">
            <v>19737052.5</v>
          </cell>
          <cell r="K48">
            <v>9326831.6999999993</v>
          </cell>
          <cell r="L48">
            <v>198947566.09999999</v>
          </cell>
          <cell r="M48">
            <v>459358637.60000002</v>
          </cell>
          <cell r="N48">
            <v>13181472182.200001</v>
          </cell>
          <cell r="O48">
            <v>12384827.300000001</v>
          </cell>
          <cell r="P48">
            <v>0</v>
          </cell>
        </row>
        <row r="49">
          <cell r="A49" t="str">
            <v>Croatia</v>
          </cell>
          <cell r="B49">
            <v>24388287969.700001</v>
          </cell>
          <cell r="C49">
            <v>11907590177.6</v>
          </cell>
          <cell r="D49">
            <v>12480697792.1</v>
          </cell>
          <cell r="E49">
            <v>-244900305.80000001</v>
          </cell>
          <cell r="F49">
            <v>33719901.299999997</v>
          </cell>
          <cell r="G49">
            <v>-278620207.10000002</v>
          </cell>
          <cell r="H49">
            <v>31494437.899999999</v>
          </cell>
          <cell r="I49">
            <v>47235759.299999997</v>
          </cell>
          <cell r="J49">
            <v>23631326.800000001</v>
          </cell>
          <cell r="K49">
            <v>39972782.600000001</v>
          </cell>
          <cell r="L49">
            <v>2297891365.3000002</v>
          </cell>
          <cell r="M49">
            <v>2496884215.1999998</v>
          </cell>
          <cell r="N49">
            <v>27960507318.5</v>
          </cell>
          <cell r="O49">
            <v>0</v>
          </cell>
          <cell r="P49">
            <v>0</v>
          </cell>
        </row>
        <row r="50">
          <cell r="A50" t="str">
            <v>Curacao</v>
          </cell>
          <cell r="B50">
            <v>1965782122.9000001</v>
          </cell>
          <cell r="C50">
            <v>407324022.30000001</v>
          </cell>
          <cell r="D50">
            <v>1558458100.5999999</v>
          </cell>
          <cell r="E50">
            <v>9089385.5</v>
          </cell>
          <cell r="F50">
            <v>9089385.5</v>
          </cell>
          <cell r="G50">
            <v>0</v>
          </cell>
          <cell r="H50">
            <v>3692737.4</v>
          </cell>
          <cell r="I50">
            <v>33307262.600000001</v>
          </cell>
          <cell r="J50">
            <v>28156424.600000001</v>
          </cell>
          <cell r="K50">
            <v>11407821.199999999</v>
          </cell>
          <cell r="L50">
            <v>130351955.3</v>
          </cell>
          <cell r="M50">
            <v>184502793.30000001</v>
          </cell>
          <cell r="N50">
            <v>2306217877.0999999</v>
          </cell>
          <cell r="O50">
            <v>8709497.1999999993</v>
          </cell>
          <cell r="P50">
            <v>0</v>
          </cell>
        </row>
        <row r="51">
          <cell r="A51" t="str">
            <v>Curacao &amp; St. Maarten</v>
          </cell>
          <cell r="B51">
            <v>3193682681.5999999</v>
          </cell>
          <cell r="C51">
            <v>536240223.5</v>
          </cell>
          <cell r="D51">
            <v>2657442458.0999999</v>
          </cell>
          <cell r="E51">
            <v>9089385.5</v>
          </cell>
          <cell r="F51">
            <v>9089385.5</v>
          </cell>
          <cell r="G51">
            <v>0</v>
          </cell>
          <cell r="H51">
            <v>3770949.7</v>
          </cell>
          <cell r="I51">
            <v>35837988.799999997</v>
          </cell>
          <cell r="J51">
            <v>28888268.199999999</v>
          </cell>
          <cell r="K51">
            <v>15910614.5</v>
          </cell>
          <cell r="L51">
            <v>192776536.30000001</v>
          </cell>
          <cell r="M51">
            <v>251653631.30000001</v>
          </cell>
          <cell r="N51">
            <v>3663347486</v>
          </cell>
          <cell r="O51">
            <v>52391061.5</v>
          </cell>
          <cell r="P51">
            <v>0</v>
          </cell>
        </row>
        <row r="52">
          <cell r="A52" t="str">
            <v>Cyprus</v>
          </cell>
          <cell r="B52">
            <v>11968949666.6</v>
          </cell>
          <cell r="C52">
            <v>2752837820.0999999</v>
          </cell>
          <cell r="D52">
            <v>9216111846.6000004</v>
          </cell>
          <cell r="E52">
            <v>2542255952.5999999</v>
          </cell>
          <cell r="F52">
            <v>1555982753.8</v>
          </cell>
          <cell r="G52">
            <v>986273198.79999995</v>
          </cell>
          <cell r="H52">
            <v>69079051.200000003</v>
          </cell>
          <cell r="I52">
            <v>237913825.19999999</v>
          </cell>
          <cell r="J52">
            <v>316708957.89999998</v>
          </cell>
          <cell r="K52">
            <v>1718435653.2</v>
          </cell>
          <cell r="L52">
            <v>186441872.90000001</v>
          </cell>
          <cell r="M52">
            <v>276358469.80000001</v>
          </cell>
          <cell r="N52">
            <v>17288083960.5</v>
          </cell>
          <cell r="O52">
            <v>90360910.400000006</v>
          </cell>
          <cell r="P52">
            <v>0</v>
          </cell>
        </row>
        <row r="53">
          <cell r="A53" t="str">
            <v>Czech Republic</v>
          </cell>
          <cell r="B53">
            <v>151009544173.5</v>
          </cell>
          <cell r="C53">
            <v>128171944330.10001</v>
          </cell>
          <cell r="D53">
            <v>22837599843.299999</v>
          </cell>
          <cell r="E53">
            <v>1853951279</v>
          </cell>
          <cell r="F53">
            <v>882066676.79999995</v>
          </cell>
          <cell r="G53">
            <v>971884602.10000002</v>
          </cell>
          <cell r="H53">
            <v>124402718.09999999</v>
          </cell>
          <cell r="I53">
            <v>46985169.799999997</v>
          </cell>
          <cell r="J53">
            <v>416653348.69999999</v>
          </cell>
          <cell r="K53">
            <v>985562119.60000002</v>
          </cell>
          <cell r="L53">
            <v>1054214579.4</v>
          </cell>
          <cell r="M53">
            <v>3586352712.5</v>
          </cell>
          <cell r="N53">
            <v>161951061921.20001</v>
          </cell>
          <cell r="O53">
            <v>1261660490.9000001</v>
          </cell>
          <cell r="P53">
            <v>0</v>
          </cell>
        </row>
        <row r="54">
          <cell r="A54" t="str">
            <v>Denmark</v>
          </cell>
          <cell r="B54">
            <v>166425211475.10001</v>
          </cell>
          <cell r="C54">
            <v>102617526098</v>
          </cell>
          <cell r="D54">
            <v>63807685377.099998</v>
          </cell>
          <cell r="E54">
            <v>12220941327.9</v>
          </cell>
          <cell r="F54">
            <v>10218056508</v>
          </cell>
          <cell r="G54">
            <v>2002884820</v>
          </cell>
          <cell r="H54">
            <v>1228027490.5999999</v>
          </cell>
          <cell r="I54">
            <v>5615595123.8999996</v>
          </cell>
          <cell r="J54">
            <v>5925645173.1000004</v>
          </cell>
          <cell r="K54">
            <v>1489207162.5</v>
          </cell>
          <cell r="L54">
            <v>1404517903.3</v>
          </cell>
          <cell r="M54">
            <v>3627984130.4000001</v>
          </cell>
          <cell r="N54">
            <v>199200442762.79999</v>
          </cell>
          <cell r="O54">
            <v>1100619959.7</v>
          </cell>
          <cell r="P54">
            <v>0</v>
          </cell>
        </row>
        <row r="55">
          <cell r="A55" t="str">
            <v>Djibouti</v>
          </cell>
          <cell r="B55">
            <v>588481881.60000002</v>
          </cell>
          <cell r="C55">
            <v>133580913.8</v>
          </cell>
          <cell r="D55">
            <v>454900967.80000001</v>
          </cell>
          <cell r="E55">
            <v>0</v>
          </cell>
          <cell r="F55">
            <v>0</v>
          </cell>
          <cell r="G55">
            <v>0</v>
          </cell>
          <cell r="H55">
            <v>0</v>
          </cell>
          <cell r="I55">
            <v>0</v>
          </cell>
          <cell r="J55">
            <v>0</v>
          </cell>
          <cell r="K55">
            <v>15428764.300000001</v>
          </cell>
          <cell r="L55">
            <v>138228674.30000001</v>
          </cell>
          <cell r="M55">
            <v>194283142</v>
          </cell>
          <cell r="N55">
            <v>826153499.89999998</v>
          </cell>
          <cell r="O55">
            <v>0</v>
          </cell>
          <cell r="P55">
            <v>0</v>
          </cell>
        </row>
        <row r="56">
          <cell r="A56" t="str">
            <v>Dominica</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row>
        <row r="57">
          <cell r="A57" t="str">
            <v>Dominican Republic</v>
          </cell>
          <cell r="B57">
            <v>16983600000</v>
          </cell>
          <cell r="C57">
            <v>9441800000</v>
          </cell>
          <cell r="D57">
            <v>7541800000</v>
          </cell>
          <cell r="E57">
            <v>0</v>
          </cell>
          <cell r="F57">
            <v>0</v>
          </cell>
          <cell r="G57">
            <v>0</v>
          </cell>
          <cell r="H57">
            <v>0</v>
          </cell>
          <cell r="I57">
            <v>0</v>
          </cell>
          <cell r="J57">
            <v>13900000</v>
          </cell>
          <cell r="K57">
            <v>296000000</v>
          </cell>
          <cell r="L57">
            <v>5252200000</v>
          </cell>
          <cell r="M57">
            <v>5621400000</v>
          </cell>
          <cell r="N57">
            <v>23150500000</v>
          </cell>
          <cell r="O57">
            <v>0</v>
          </cell>
          <cell r="P57">
            <v>0</v>
          </cell>
        </row>
        <row r="58">
          <cell r="A58" t="str">
            <v>Ecuador</v>
          </cell>
          <cell r="B58">
            <v>21440060539.099998</v>
          </cell>
          <cell r="C58">
            <v>19042747801.799999</v>
          </cell>
          <cell r="D58">
            <v>2397312737.4000001</v>
          </cell>
          <cell r="E58">
            <v>0</v>
          </cell>
          <cell r="F58">
            <v>0</v>
          </cell>
          <cell r="G58">
            <v>0</v>
          </cell>
          <cell r="H58">
            <v>0</v>
          </cell>
          <cell r="I58">
            <v>0</v>
          </cell>
          <cell r="J58">
            <v>0</v>
          </cell>
          <cell r="K58">
            <v>128991584.3</v>
          </cell>
          <cell r="L58">
            <v>2455725642.5</v>
          </cell>
          <cell r="M58">
            <v>2643648652.3000002</v>
          </cell>
          <cell r="N58">
            <v>24222437778.700001</v>
          </cell>
          <cell r="O58">
            <v>0</v>
          </cell>
          <cell r="P58">
            <v>0</v>
          </cell>
        </row>
        <row r="59">
          <cell r="A59" t="str">
            <v>Egypt</v>
          </cell>
          <cell r="B59">
            <v>37569400000</v>
          </cell>
          <cell r="C59">
            <v>19030900000</v>
          </cell>
          <cell r="D59">
            <v>18538500000</v>
          </cell>
          <cell r="E59">
            <v>153300000</v>
          </cell>
          <cell r="F59">
            <v>153300000</v>
          </cell>
          <cell r="G59">
            <v>0</v>
          </cell>
          <cell r="H59">
            <v>0</v>
          </cell>
          <cell r="I59">
            <v>0</v>
          </cell>
          <cell r="J59">
            <v>53700000</v>
          </cell>
          <cell r="K59">
            <v>96500000</v>
          </cell>
          <cell r="L59">
            <v>18730900000</v>
          </cell>
          <cell r="M59">
            <v>18955800000</v>
          </cell>
          <cell r="N59">
            <v>56828700000</v>
          </cell>
          <cell r="O59">
            <v>0</v>
          </cell>
          <cell r="P59">
            <v>0</v>
          </cell>
        </row>
        <row r="60">
          <cell r="A60" t="str">
            <v>El Salvador</v>
          </cell>
          <cell r="B60">
            <v>6718036265.5</v>
          </cell>
          <cell r="C60">
            <v>4380700504.1000004</v>
          </cell>
          <cell r="D60">
            <v>2337335761.4000001</v>
          </cell>
          <cell r="E60">
            <v>1939556.8</v>
          </cell>
          <cell r="F60">
            <v>0</v>
          </cell>
          <cell r="G60">
            <v>1939556.8</v>
          </cell>
          <cell r="H60">
            <v>119827.4</v>
          </cell>
          <cell r="I60">
            <v>0</v>
          </cell>
          <cell r="J60">
            <v>47615607.600000001</v>
          </cell>
          <cell r="K60">
            <v>27256708.199999999</v>
          </cell>
          <cell r="L60">
            <v>4496733272.6000004</v>
          </cell>
          <cell r="M60">
            <v>4519867072</v>
          </cell>
          <cell r="N60">
            <v>11363891966.9</v>
          </cell>
          <cell r="O60">
            <v>0</v>
          </cell>
          <cell r="P60">
            <v>0</v>
          </cell>
        </row>
        <row r="61">
          <cell r="A61" t="str">
            <v>Equatorial Guinea</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row>
        <row r="62">
          <cell r="A62" t="str">
            <v>Eritrea</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Estonia</v>
          </cell>
          <cell r="B63">
            <v>17804093950.099998</v>
          </cell>
          <cell r="C63">
            <v>12035830423.5</v>
          </cell>
          <cell r="D63">
            <v>5768263526.6000004</v>
          </cell>
          <cell r="E63">
            <v>268529426.60000002</v>
          </cell>
          <cell r="F63">
            <v>241837346</v>
          </cell>
          <cell r="G63">
            <v>26692080.699999999</v>
          </cell>
          <cell r="H63">
            <v>84906630.5</v>
          </cell>
          <cell r="I63">
            <v>49713942.700000003</v>
          </cell>
          <cell r="J63">
            <v>87922611.299999997</v>
          </cell>
          <cell r="K63">
            <v>53018409</v>
          </cell>
          <cell r="L63">
            <v>311726796.80000001</v>
          </cell>
          <cell r="M63">
            <v>531984983</v>
          </cell>
          <cell r="N63">
            <v>19435351569.400002</v>
          </cell>
          <cell r="O63">
            <v>208170504.59999999</v>
          </cell>
          <cell r="P63">
            <v>0</v>
          </cell>
        </row>
        <row r="64">
          <cell r="A64" t="str">
            <v>Ethiopia</v>
          </cell>
          <cell r="B64">
            <v>6007198500.3999996</v>
          </cell>
          <cell r="C64">
            <v>2920028413.0999999</v>
          </cell>
          <cell r="D64">
            <v>3087170087.1999998</v>
          </cell>
          <cell r="E64">
            <v>0</v>
          </cell>
          <cell r="F64">
            <v>0</v>
          </cell>
          <cell r="G64">
            <v>0</v>
          </cell>
          <cell r="H64">
            <v>0</v>
          </cell>
          <cell r="I64">
            <v>0</v>
          </cell>
          <cell r="J64">
            <v>0</v>
          </cell>
          <cell r="K64">
            <v>11288703.800000001</v>
          </cell>
          <cell r="L64">
            <v>5299411773.3000002</v>
          </cell>
          <cell r="M64">
            <v>6605455567.6000004</v>
          </cell>
          <cell r="N64">
            <v>12624004889.299999</v>
          </cell>
          <cell r="O64">
            <v>0</v>
          </cell>
          <cell r="P64">
            <v>0</v>
          </cell>
        </row>
        <row r="65">
          <cell r="A65" t="str">
            <v>Euro Area</v>
          </cell>
          <cell r="B65">
            <v>3200000000000</v>
          </cell>
          <cell r="C65">
            <v>2300000000000</v>
          </cell>
          <cell r="D65">
            <v>860214618162.09998</v>
          </cell>
          <cell r="E65">
            <v>302000914324.5</v>
          </cell>
          <cell r="F65">
            <v>257217815049.39999</v>
          </cell>
          <cell r="G65">
            <v>44783099275.099998</v>
          </cell>
          <cell r="H65">
            <v>72409447129.399994</v>
          </cell>
          <cell r="I65">
            <v>77525822583.600006</v>
          </cell>
          <cell r="J65">
            <v>126161941836.5</v>
          </cell>
          <cell r="K65">
            <v>40468921189.300003</v>
          </cell>
          <cell r="L65">
            <v>87479950766.800003</v>
          </cell>
          <cell r="M65">
            <v>115595304893</v>
          </cell>
          <cell r="N65">
            <v>4000000000000</v>
          </cell>
          <cell r="O65">
            <v>43175700598.5</v>
          </cell>
          <cell r="P65">
            <v>0</v>
          </cell>
        </row>
        <row r="66">
          <cell r="A66" t="str">
            <v>Faroe Islands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A67" t="str">
            <v>Fiji</v>
          </cell>
          <cell r="B67">
            <v>2141094067.0999999</v>
          </cell>
          <cell r="C67">
            <v>886181882</v>
          </cell>
          <cell r="D67">
            <v>1254912185.0999999</v>
          </cell>
          <cell r="E67">
            <v>0</v>
          </cell>
          <cell r="F67">
            <v>0</v>
          </cell>
          <cell r="G67">
            <v>0</v>
          </cell>
          <cell r="H67">
            <v>0</v>
          </cell>
          <cell r="I67">
            <v>0</v>
          </cell>
          <cell r="J67">
            <v>0</v>
          </cell>
          <cell r="K67">
            <v>20827228.800000001</v>
          </cell>
          <cell r="L67">
            <v>284765372.19999999</v>
          </cell>
          <cell r="M67">
            <v>332698286.80000001</v>
          </cell>
          <cell r="N67">
            <v>2540648104.0999999</v>
          </cell>
          <cell r="O67">
            <v>0</v>
          </cell>
          <cell r="P67">
            <v>0</v>
          </cell>
        </row>
        <row r="68">
          <cell r="A68" t="str">
            <v>Finland</v>
          </cell>
          <cell r="B68">
            <v>85551601592.899994</v>
          </cell>
          <cell r="C68">
            <v>59648191710.699997</v>
          </cell>
          <cell r="D68">
            <v>25903409882.200001</v>
          </cell>
          <cell r="E68">
            <v>6937532811.6999998</v>
          </cell>
          <cell r="F68">
            <v>10667456342.5</v>
          </cell>
          <cell r="G68">
            <v>-3729934476.0999999</v>
          </cell>
          <cell r="H68">
            <v>0</v>
          </cell>
          <cell r="I68">
            <v>2973059585.5999999</v>
          </cell>
          <cell r="J68">
            <v>3643938157.5</v>
          </cell>
          <cell r="K68">
            <v>203031338.09999999</v>
          </cell>
          <cell r="L68">
            <v>0</v>
          </cell>
          <cell r="M68">
            <v>1167915056.2</v>
          </cell>
          <cell r="N68">
            <v>102949352159.8</v>
          </cell>
          <cell r="O68">
            <v>821818216.10000002</v>
          </cell>
          <cell r="P68">
            <v>0</v>
          </cell>
        </row>
        <row r="69">
          <cell r="A69" t="str">
            <v>France</v>
          </cell>
          <cell r="B69">
            <v>750536277094.5</v>
          </cell>
          <cell r="C69">
            <v>510599936027.70001</v>
          </cell>
          <cell r="D69">
            <v>239936341066.79999</v>
          </cell>
          <cell r="E69">
            <v>68465011284.099998</v>
          </cell>
          <cell r="F69">
            <v>63995013396</v>
          </cell>
          <cell r="G69">
            <v>4467798956.3999996</v>
          </cell>
          <cell r="H69">
            <v>5541008494.1999998</v>
          </cell>
          <cell r="I69">
            <v>14838061783.799999</v>
          </cell>
          <cell r="J69">
            <v>45487590963.699997</v>
          </cell>
          <cell r="K69">
            <v>11368462179.799999</v>
          </cell>
          <cell r="L69">
            <v>23129831831.700001</v>
          </cell>
          <cell r="M69">
            <v>30398103409.799999</v>
          </cell>
          <cell r="N69">
            <v>964256636523.09998</v>
          </cell>
          <cell r="O69">
            <v>13362929762.4</v>
          </cell>
          <cell r="P69">
            <v>0</v>
          </cell>
        </row>
        <row r="70">
          <cell r="A70" t="str">
            <v>French Territories: French Polynesia</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row>
        <row r="71">
          <cell r="A71" t="str">
            <v>French Territories: New Caledonia</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t="str">
            <v>Gabon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t="str">
            <v>Gambia, The</v>
          </cell>
          <cell r="B73">
            <v>262482360</v>
          </cell>
          <cell r="C73">
            <v>107390527.7</v>
          </cell>
          <cell r="D73">
            <v>155091832.30000001</v>
          </cell>
          <cell r="E73">
            <v>-4550693.5999999996</v>
          </cell>
          <cell r="F73">
            <v>0</v>
          </cell>
          <cell r="G73">
            <v>0</v>
          </cell>
          <cell r="H73">
            <v>0</v>
          </cell>
          <cell r="I73">
            <v>0</v>
          </cell>
          <cell r="J73">
            <v>4328740.0999999996</v>
          </cell>
          <cell r="K73">
            <v>0</v>
          </cell>
          <cell r="L73">
            <v>144736347.19999999</v>
          </cell>
          <cell r="M73">
            <v>144736347.19999999</v>
          </cell>
          <cell r="N73">
            <v>410824564.89999998</v>
          </cell>
          <cell r="O73">
            <v>0</v>
          </cell>
          <cell r="P73">
            <v>0</v>
          </cell>
        </row>
        <row r="74">
          <cell r="A74" t="str">
            <v>Georgia</v>
          </cell>
          <cell r="B74">
            <v>6175596697.1999998</v>
          </cell>
          <cell r="C74">
            <v>3021038528.5</v>
          </cell>
          <cell r="D74">
            <v>3154558168.6999998</v>
          </cell>
          <cell r="E74">
            <v>199175766.5</v>
          </cell>
          <cell r="F74">
            <v>28390481.100000001</v>
          </cell>
          <cell r="G74">
            <v>170785285.40000001</v>
          </cell>
          <cell r="H74">
            <v>13395380.9</v>
          </cell>
          <cell r="I74">
            <v>103146.6</v>
          </cell>
          <cell r="J74">
            <v>4213862</v>
          </cell>
          <cell r="K74">
            <v>41461168.600000001</v>
          </cell>
          <cell r="L74">
            <v>1027585941.8</v>
          </cell>
          <cell r="M74">
            <v>1221699704.4000001</v>
          </cell>
          <cell r="N74">
            <v>8241787643.8000002</v>
          </cell>
          <cell r="O74">
            <v>0</v>
          </cell>
          <cell r="P74">
            <v>0</v>
          </cell>
        </row>
        <row r="75">
          <cell r="A75" t="str">
            <v>Germany</v>
          </cell>
          <cell r="B75">
            <v>1600000000000</v>
          </cell>
          <cell r="C75">
            <v>1300000000000</v>
          </cell>
          <cell r="D75">
            <v>272856713002.39999</v>
          </cell>
          <cell r="E75">
            <v>76198863469.899994</v>
          </cell>
          <cell r="F75">
            <v>65295464989.300003</v>
          </cell>
          <cell r="G75">
            <v>10903398480.6</v>
          </cell>
          <cell r="H75">
            <v>7979622503.5</v>
          </cell>
          <cell r="I75">
            <v>18731596201.700001</v>
          </cell>
          <cell r="J75">
            <v>55523877039.599998</v>
          </cell>
          <cell r="K75">
            <v>27928329864.700001</v>
          </cell>
          <cell r="L75">
            <v>55852748366.599998</v>
          </cell>
          <cell r="M75">
            <v>72317393938.800003</v>
          </cell>
          <cell r="N75">
            <v>1900000000000</v>
          </cell>
          <cell r="O75">
            <v>5568619352.6999998</v>
          </cell>
          <cell r="P75">
            <v>0</v>
          </cell>
        </row>
        <row r="76">
          <cell r="A76" t="str">
            <v>Ghana</v>
          </cell>
          <cell r="B76">
            <v>16498728113.700001</v>
          </cell>
          <cell r="C76">
            <v>10355706611</v>
          </cell>
          <cell r="D76">
            <v>6143021502.6999998</v>
          </cell>
          <cell r="E76">
            <v>0</v>
          </cell>
          <cell r="F76">
            <v>0</v>
          </cell>
          <cell r="G76">
            <v>0</v>
          </cell>
          <cell r="H76">
            <v>0</v>
          </cell>
          <cell r="I76">
            <v>0</v>
          </cell>
          <cell r="J76">
            <v>0</v>
          </cell>
          <cell r="K76">
            <v>394419636.5</v>
          </cell>
          <cell r="L76">
            <v>4982442361.8000002</v>
          </cell>
          <cell r="M76">
            <v>5204832361.8000002</v>
          </cell>
          <cell r="N76">
            <v>22097980112</v>
          </cell>
          <cell r="O76">
            <v>0</v>
          </cell>
          <cell r="P76">
            <v>0</v>
          </cell>
        </row>
        <row r="77">
          <cell r="A77" t="str">
            <v>Greece</v>
          </cell>
          <cell r="B77">
            <v>58464304564.400002</v>
          </cell>
          <cell r="C77">
            <v>27489075176.799999</v>
          </cell>
          <cell r="D77">
            <v>30975229387.599998</v>
          </cell>
          <cell r="E77">
            <v>2347628785.6999998</v>
          </cell>
          <cell r="F77">
            <v>249671075.09999999</v>
          </cell>
          <cell r="G77">
            <v>2097957710.5</v>
          </cell>
          <cell r="H77">
            <v>3544844.3</v>
          </cell>
          <cell r="I77">
            <v>22226675.399999999</v>
          </cell>
          <cell r="J77">
            <v>1694119461.4000001</v>
          </cell>
          <cell r="K77">
            <v>592177590.60000002</v>
          </cell>
          <cell r="L77">
            <v>948857507.29999995</v>
          </cell>
          <cell r="M77">
            <v>2124009059.3</v>
          </cell>
          <cell r="N77">
            <v>68945023859.199997</v>
          </cell>
          <cell r="O77">
            <v>3525454656</v>
          </cell>
          <cell r="P77">
            <v>0</v>
          </cell>
        </row>
        <row r="78">
          <cell r="A78" t="str">
            <v>Grenada</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row>
        <row r="79">
          <cell r="A79" t="str">
            <v>Guatemala</v>
          </cell>
          <cell r="B79">
            <v>13646908520.799999</v>
          </cell>
          <cell r="C79">
            <v>10823873758.9</v>
          </cell>
          <cell r="D79">
            <v>2823034761.9000001</v>
          </cell>
          <cell r="E79">
            <v>143606494.09999999</v>
          </cell>
          <cell r="F79">
            <v>38867719.200000003</v>
          </cell>
          <cell r="G79">
            <v>104738774.90000001</v>
          </cell>
          <cell r="H79">
            <v>675300</v>
          </cell>
          <cell r="I79">
            <v>261300</v>
          </cell>
          <cell r="J79">
            <v>1582000</v>
          </cell>
          <cell r="K79">
            <v>212100000</v>
          </cell>
          <cell r="L79">
            <v>6985704756.1000004</v>
          </cell>
          <cell r="M79">
            <v>7232659121.1999998</v>
          </cell>
          <cell r="N79">
            <v>21411877836.099998</v>
          </cell>
          <cell r="O79">
            <v>0</v>
          </cell>
          <cell r="P79">
            <v>0</v>
          </cell>
        </row>
        <row r="80">
          <cell r="A80" t="str">
            <v>Guinea</v>
          </cell>
          <cell r="B80">
            <v>1859596267.5999999</v>
          </cell>
          <cell r="C80">
            <v>1781147781</v>
          </cell>
          <cell r="D80">
            <v>78448486.599999994</v>
          </cell>
          <cell r="E80">
            <v>0</v>
          </cell>
          <cell r="F80">
            <v>0</v>
          </cell>
          <cell r="G80">
            <v>0</v>
          </cell>
          <cell r="H80">
            <v>0</v>
          </cell>
          <cell r="I80">
            <v>19783.8</v>
          </cell>
          <cell r="J80">
            <v>6226892.9000000004</v>
          </cell>
          <cell r="K80">
            <v>1495297.8</v>
          </cell>
          <cell r="L80">
            <v>1213658740.3</v>
          </cell>
          <cell r="M80">
            <v>1247150820.9000001</v>
          </cell>
          <cell r="N80">
            <v>3142210509</v>
          </cell>
          <cell r="O80">
            <v>6912026</v>
          </cell>
          <cell r="P80">
            <v>0</v>
          </cell>
        </row>
        <row r="81">
          <cell r="A81" t="str">
            <v>Guinea-Bissau</v>
          </cell>
          <cell r="B81">
            <v>288516902.69999999</v>
          </cell>
          <cell r="C81">
            <v>252246891.90000001</v>
          </cell>
          <cell r="D81">
            <v>36270010.799999997</v>
          </cell>
          <cell r="E81">
            <v>0</v>
          </cell>
          <cell r="F81">
            <v>0</v>
          </cell>
          <cell r="G81">
            <v>0</v>
          </cell>
          <cell r="H81">
            <v>434525.7</v>
          </cell>
          <cell r="I81">
            <v>0</v>
          </cell>
          <cell r="J81">
            <v>3034916.7</v>
          </cell>
          <cell r="K81">
            <v>1599122.1</v>
          </cell>
          <cell r="L81">
            <v>59689186.600000001</v>
          </cell>
          <cell r="M81">
            <v>70738143.299999997</v>
          </cell>
          <cell r="N81">
            <v>412992515.69999999</v>
          </cell>
          <cell r="O81">
            <v>21959271</v>
          </cell>
          <cell r="P81">
            <v>0</v>
          </cell>
        </row>
        <row r="82">
          <cell r="A82" t="str">
            <v>Guyana</v>
          </cell>
          <cell r="B82">
            <v>1312846529.9000001</v>
          </cell>
          <cell r="C82">
            <v>1169970147</v>
          </cell>
          <cell r="D82">
            <v>142876382.80000001</v>
          </cell>
          <cell r="E82">
            <v>0</v>
          </cell>
          <cell r="F82">
            <v>0</v>
          </cell>
          <cell r="G82">
            <v>0</v>
          </cell>
          <cell r="H82">
            <v>0</v>
          </cell>
          <cell r="I82">
            <v>0</v>
          </cell>
          <cell r="J82">
            <v>0</v>
          </cell>
          <cell r="K82">
            <v>57200000</v>
          </cell>
          <cell r="L82">
            <v>610857725.20000005</v>
          </cell>
          <cell r="M82">
            <v>610857725.20000005</v>
          </cell>
          <cell r="N82">
            <v>1980904255</v>
          </cell>
          <cell r="O82">
            <v>0</v>
          </cell>
          <cell r="P82">
            <v>0</v>
          </cell>
        </row>
        <row r="83">
          <cell r="A83" t="str">
            <v>Haiti</v>
          </cell>
          <cell r="B83">
            <v>1747794245</v>
          </cell>
          <cell r="C83">
            <v>1024284731.5</v>
          </cell>
          <cell r="D83">
            <v>723509513.5</v>
          </cell>
          <cell r="E83">
            <v>0</v>
          </cell>
          <cell r="F83">
            <v>0</v>
          </cell>
          <cell r="G83">
            <v>0</v>
          </cell>
          <cell r="H83">
            <v>0</v>
          </cell>
          <cell r="I83">
            <v>0</v>
          </cell>
          <cell r="J83">
            <v>0</v>
          </cell>
          <cell r="K83">
            <v>61806603.5</v>
          </cell>
          <cell r="L83">
            <v>2195560227.0999999</v>
          </cell>
          <cell r="M83">
            <v>2684500227.0999999</v>
          </cell>
          <cell r="N83">
            <v>4494101075.6999998</v>
          </cell>
          <cell r="O83">
            <v>0</v>
          </cell>
          <cell r="P83">
            <v>0</v>
          </cell>
        </row>
        <row r="84">
          <cell r="A84" t="str">
            <v>Honduras</v>
          </cell>
          <cell r="B84">
            <v>6630632838.8000002</v>
          </cell>
          <cell r="C84">
            <v>3953760839.5</v>
          </cell>
          <cell r="D84">
            <v>2676871999.3000002</v>
          </cell>
          <cell r="E84">
            <v>0</v>
          </cell>
          <cell r="F84">
            <v>0</v>
          </cell>
          <cell r="G84">
            <v>0</v>
          </cell>
          <cell r="H84">
            <v>0</v>
          </cell>
          <cell r="I84">
            <v>19446.3</v>
          </cell>
          <cell r="J84">
            <v>22990960.399999999</v>
          </cell>
          <cell r="K84">
            <v>19600311.800000001</v>
          </cell>
          <cell r="L84">
            <v>3923753673.8000002</v>
          </cell>
          <cell r="M84">
            <v>4018416624.6999998</v>
          </cell>
          <cell r="N84">
            <v>10708060181.9</v>
          </cell>
          <cell r="O84">
            <v>0</v>
          </cell>
          <cell r="P84">
            <v>0</v>
          </cell>
        </row>
        <row r="85">
          <cell r="A85" t="str">
            <v>Hungary</v>
          </cell>
          <cell r="B85">
            <v>110821193534.5</v>
          </cell>
          <cell r="C85">
            <v>88321817700.699997</v>
          </cell>
          <cell r="D85">
            <v>22499375833.799999</v>
          </cell>
          <cell r="E85">
            <v>4085439343</v>
          </cell>
          <cell r="F85">
            <v>1277507639.3</v>
          </cell>
          <cell r="G85">
            <v>2807931703.6999998</v>
          </cell>
          <cell r="H85">
            <v>1397145644.5999999</v>
          </cell>
          <cell r="I85">
            <v>109671043.40000001</v>
          </cell>
          <cell r="J85">
            <v>65492318.600000001</v>
          </cell>
          <cell r="K85">
            <v>161357971.19999999</v>
          </cell>
          <cell r="L85">
            <v>1413772736.5</v>
          </cell>
          <cell r="M85">
            <v>2293513965.0999999</v>
          </cell>
          <cell r="N85">
            <v>124663004799.7</v>
          </cell>
          <cell r="O85">
            <v>1574453364.4000001</v>
          </cell>
          <cell r="P85">
            <v>0</v>
          </cell>
        </row>
        <row r="86">
          <cell r="A86" t="str">
            <v>Iceland</v>
          </cell>
          <cell r="B86">
            <v>9010573513.2000008</v>
          </cell>
          <cell r="C86">
            <v>4654936133</v>
          </cell>
          <cell r="D86">
            <v>4355637380.1999998</v>
          </cell>
          <cell r="E86">
            <v>163570763.69999999</v>
          </cell>
          <cell r="F86">
            <v>55257201.799999997</v>
          </cell>
          <cell r="G86">
            <v>108313562</v>
          </cell>
          <cell r="H86">
            <v>323590413.80000001</v>
          </cell>
          <cell r="I86">
            <v>29437286.800000001</v>
          </cell>
          <cell r="J86">
            <v>66030663.200000003</v>
          </cell>
          <cell r="K86">
            <v>34695685</v>
          </cell>
          <cell r="L86">
            <v>95006183.5</v>
          </cell>
          <cell r="M86">
            <v>111577066.09999999</v>
          </cell>
          <cell r="N86">
            <v>9998237794.5</v>
          </cell>
          <cell r="O86">
            <v>0</v>
          </cell>
          <cell r="P86">
            <v>0</v>
          </cell>
        </row>
        <row r="87">
          <cell r="A87" t="str">
            <v>India</v>
          </cell>
          <cell r="B87">
            <v>428630903175.90002</v>
          </cell>
          <cell r="C87">
            <v>272352729600</v>
          </cell>
          <cell r="D87">
            <v>156278173576</v>
          </cell>
          <cell r="E87">
            <v>4995291464.8999996</v>
          </cell>
          <cell r="F87">
            <v>1658201464.9000001</v>
          </cell>
          <cell r="G87">
            <v>3337090000</v>
          </cell>
          <cell r="H87">
            <v>23252216.600000001</v>
          </cell>
          <cell r="I87">
            <v>0</v>
          </cell>
          <cell r="J87">
            <v>122625090.3</v>
          </cell>
          <cell r="K87">
            <v>500648300.10000002</v>
          </cell>
          <cell r="L87">
            <v>67393987675.199997</v>
          </cell>
          <cell r="M87">
            <v>67805662176.5</v>
          </cell>
          <cell r="N87">
            <v>510969959215</v>
          </cell>
          <cell r="O87">
            <v>1896643798.4000001</v>
          </cell>
          <cell r="P87">
            <v>0</v>
          </cell>
        </row>
        <row r="88">
          <cell r="A88" t="str">
            <v>Indonesia</v>
          </cell>
          <cell r="B88">
            <v>171345363235</v>
          </cell>
          <cell r="C88">
            <v>149124481790.5</v>
          </cell>
          <cell r="D88">
            <v>22220881444.5</v>
          </cell>
          <cell r="E88">
            <v>71837341</v>
          </cell>
          <cell r="F88">
            <v>0</v>
          </cell>
          <cell r="G88">
            <v>0</v>
          </cell>
          <cell r="H88">
            <v>16451218.800000001</v>
          </cell>
          <cell r="I88">
            <v>283200549.60000002</v>
          </cell>
          <cell r="J88">
            <v>1812023884.2</v>
          </cell>
          <cell r="K88">
            <v>425622029.30000001</v>
          </cell>
          <cell r="L88">
            <v>10211876111.700001</v>
          </cell>
          <cell r="M88">
            <v>10361580753.200001</v>
          </cell>
          <cell r="N88">
            <v>184528640163.10001</v>
          </cell>
          <cell r="O88">
            <v>0</v>
          </cell>
          <cell r="P88">
            <v>0</v>
          </cell>
        </row>
        <row r="89">
          <cell r="A89" t="str">
            <v>Iran, Islamic Republic of</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t="str">
            <v>Iraq</v>
          </cell>
          <cell r="B90">
            <v>49701300000</v>
          </cell>
          <cell r="C90">
            <v>43441500000</v>
          </cell>
          <cell r="D90">
            <v>6259800000</v>
          </cell>
          <cell r="E90">
            <v>23600000</v>
          </cell>
          <cell r="F90">
            <v>23600000</v>
          </cell>
          <cell r="G90">
            <v>0</v>
          </cell>
          <cell r="H90">
            <v>0</v>
          </cell>
          <cell r="I90">
            <v>0</v>
          </cell>
          <cell r="J90">
            <v>0</v>
          </cell>
          <cell r="K90">
            <v>51700000</v>
          </cell>
          <cell r="L90">
            <v>955500000</v>
          </cell>
          <cell r="M90">
            <v>1153400000</v>
          </cell>
          <cell r="N90">
            <v>51186000000</v>
          </cell>
          <cell r="O90">
            <v>26600000</v>
          </cell>
          <cell r="P90">
            <v>0</v>
          </cell>
        </row>
        <row r="91">
          <cell r="A91" t="str">
            <v>Ireland</v>
          </cell>
          <cell r="B91">
            <v>351665223992.09998</v>
          </cell>
          <cell r="C91">
            <v>216863478308.70001</v>
          </cell>
          <cell r="D91">
            <v>134801745683.39999</v>
          </cell>
          <cell r="E91">
            <v>13449571993.6</v>
          </cell>
          <cell r="F91">
            <v>0</v>
          </cell>
          <cell r="G91">
            <v>0</v>
          </cell>
          <cell r="H91">
            <v>4026703935.0999999</v>
          </cell>
          <cell r="I91">
            <v>11459624064.299999</v>
          </cell>
          <cell r="J91">
            <v>28647527894.200001</v>
          </cell>
          <cell r="K91">
            <v>8464278367.5</v>
          </cell>
          <cell r="L91">
            <v>4253598161</v>
          </cell>
          <cell r="M91">
            <v>4449722356.3999996</v>
          </cell>
          <cell r="N91">
            <v>424491365585.5</v>
          </cell>
          <cell r="O91">
            <v>1727553912.5</v>
          </cell>
          <cell r="P91">
            <v>-49409077248</v>
          </cell>
        </row>
        <row r="92">
          <cell r="A92" t="str">
            <v>Israel</v>
          </cell>
          <cell r="B92">
            <v>93422600000</v>
          </cell>
          <cell r="C92">
            <v>56682900000</v>
          </cell>
          <cell r="D92">
            <v>36739700000</v>
          </cell>
          <cell r="E92">
            <v>6215900000</v>
          </cell>
          <cell r="F92">
            <v>1747900000</v>
          </cell>
          <cell r="G92">
            <v>4468000000</v>
          </cell>
          <cell r="H92">
            <v>187200000</v>
          </cell>
          <cell r="I92">
            <v>996300000</v>
          </cell>
          <cell r="J92">
            <v>1263700000</v>
          </cell>
          <cell r="K92">
            <v>1071800000</v>
          </cell>
          <cell r="L92">
            <v>7180100000</v>
          </cell>
          <cell r="M92">
            <v>11738500000</v>
          </cell>
          <cell r="N92">
            <v>115749100000</v>
          </cell>
          <cell r="O92">
            <v>0</v>
          </cell>
          <cell r="P92">
            <v>0</v>
          </cell>
        </row>
        <row r="93">
          <cell r="A93" t="str">
            <v>Italy</v>
          </cell>
          <cell r="B93">
            <v>547754371160.79999</v>
          </cell>
          <cell r="C93">
            <v>449549667208.20001</v>
          </cell>
          <cell r="D93">
            <v>98204703952.600006</v>
          </cell>
          <cell r="E93">
            <v>12474286274.299999</v>
          </cell>
          <cell r="F93">
            <v>15503436182.9</v>
          </cell>
          <cell r="G93">
            <v>-3029149908.5999999</v>
          </cell>
          <cell r="H93">
            <v>2834017547.3000002</v>
          </cell>
          <cell r="I93">
            <v>11645417163.799999</v>
          </cell>
          <cell r="J93">
            <v>15782684390.5</v>
          </cell>
          <cell r="K93">
            <v>2926946245.5999999</v>
          </cell>
          <cell r="L93">
            <v>11102494911.6</v>
          </cell>
          <cell r="M93">
            <v>16440616870.6</v>
          </cell>
          <cell r="N93">
            <v>622957370967.30005</v>
          </cell>
          <cell r="O93">
            <v>4915670808.8000002</v>
          </cell>
          <cell r="P93">
            <v>0</v>
          </cell>
        </row>
        <row r="94">
          <cell r="A94" t="str">
            <v>Jamaica</v>
          </cell>
          <cell r="B94">
            <v>4313628181.6000004</v>
          </cell>
          <cell r="C94">
            <v>1254861537.7</v>
          </cell>
          <cell r="D94">
            <v>3058766644</v>
          </cell>
          <cell r="E94">
            <v>0</v>
          </cell>
          <cell r="F94">
            <v>0</v>
          </cell>
          <cell r="G94">
            <v>0</v>
          </cell>
          <cell r="H94">
            <v>0</v>
          </cell>
          <cell r="I94">
            <v>0</v>
          </cell>
          <cell r="J94">
            <v>0</v>
          </cell>
          <cell r="K94">
            <v>105061990.90000001</v>
          </cell>
          <cell r="L94">
            <v>2373786236.8000002</v>
          </cell>
          <cell r="M94">
            <v>2543004542.8000002</v>
          </cell>
          <cell r="N94">
            <v>7168907728.6999998</v>
          </cell>
          <cell r="O94">
            <v>0</v>
          </cell>
          <cell r="P94">
            <v>0</v>
          </cell>
        </row>
        <row r="95">
          <cell r="A95" t="str">
            <v>Japan</v>
          </cell>
          <cell r="B95">
            <v>784710796800.80005</v>
          </cell>
          <cell r="C95">
            <v>622037821678.59998</v>
          </cell>
          <cell r="D95">
            <v>162672975122.20001</v>
          </cell>
          <cell r="E95">
            <v>92859631469.5</v>
          </cell>
          <cell r="F95">
            <v>49592347812.199997</v>
          </cell>
          <cell r="G95">
            <v>43267283657.300003</v>
          </cell>
          <cell r="H95">
            <v>1368586275.3</v>
          </cell>
          <cell r="I95">
            <v>53800296353.199997</v>
          </cell>
          <cell r="J95">
            <v>86533926911.600006</v>
          </cell>
          <cell r="K95">
            <v>10680824011.700001</v>
          </cell>
          <cell r="L95">
            <v>13996102954.1</v>
          </cell>
          <cell r="M95">
            <v>16949738128.5</v>
          </cell>
          <cell r="N95">
            <v>1000000000000</v>
          </cell>
          <cell r="O95">
            <v>10167105.800000001</v>
          </cell>
          <cell r="P95">
            <v>0</v>
          </cell>
        </row>
        <row r="96">
          <cell r="A96" t="str">
            <v>Jordan</v>
          </cell>
          <cell r="B96">
            <v>14102112676.1</v>
          </cell>
          <cell r="C96">
            <v>7832957746.5</v>
          </cell>
          <cell r="D96">
            <v>6269154929.6000004</v>
          </cell>
          <cell r="E96">
            <v>0</v>
          </cell>
          <cell r="F96">
            <v>0</v>
          </cell>
          <cell r="G96">
            <v>0</v>
          </cell>
          <cell r="H96">
            <v>0</v>
          </cell>
          <cell r="I96">
            <v>0</v>
          </cell>
          <cell r="J96">
            <v>0</v>
          </cell>
          <cell r="K96">
            <v>251112676.09999999</v>
          </cell>
          <cell r="L96">
            <v>4969014084.5</v>
          </cell>
          <cell r="M96">
            <v>6160281690.1000004</v>
          </cell>
          <cell r="N96">
            <v>20998436619.700001</v>
          </cell>
          <cell r="O96">
            <v>0</v>
          </cell>
          <cell r="P96">
            <v>0</v>
          </cell>
        </row>
        <row r="97">
          <cell r="A97" t="str">
            <v>Kazakhstan</v>
          </cell>
          <cell r="B97">
            <v>52991856051.699997</v>
          </cell>
          <cell r="C97">
            <v>46515888001.699997</v>
          </cell>
          <cell r="D97">
            <v>6475968050</v>
          </cell>
          <cell r="E97">
            <v>319870750</v>
          </cell>
          <cell r="F97">
            <v>414493380</v>
          </cell>
          <cell r="G97">
            <v>-94622630</v>
          </cell>
          <cell r="H97">
            <v>263655350</v>
          </cell>
          <cell r="I97">
            <v>244298293.30000001</v>
          </cell>
          <cell r="J97">
            <v>791124837.29999995</v>
          </cell>
          <cell r="K97">
            <v>329278700</v>
          </cell>
          <cell r="L97">
            <v>303027762.39999998</v>
          </cell>
          <cell r="M97">
            <v>1752097688.2</v>
          </cell>
          <cell r="N97">
            <v>57000709466.900002</v>
          </cell>
          <cell r="O97">
            <v>139786000</v>
          </cell>
          <cell r="P97">
            <v>0</v>
          </cell>
        </row>
        <row r="98">
          <cell r="A98" t="str">
            <v>Kenya</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row>
        <row r="99">
          <cell r="A99" t="str">
            <v>Kiribati</v>
          </cell>
          <cell r="B99">
            <v>16604379.9</v>
          </cell>
          <cell r="C99">
            <v>8744113.8000000007</v>
          </cell>
          <cell r="D99">
            <v>7860266.0999999996</v>
          </cell>
          <cell r="E99">
            <v>46777.5</v>
          </cell>
          <cell r="F99">
            <v>0</v>
          </cell>
          <cell r="G99">
            <v>46777.5</v>
          </cell>
          <cell r="H99">
            <v>0</v>
          </cell>
          <cell r="I99">
            <v>4285968.4000000004</v>
          </cell>
          <cell r="J99">
            <v>0</v>
          </cell>
          <cell r="K99">
            <v>5800049.2999999998</v>
          </cell>
          <cell r="L99">
            <v>4785266.7</v>
          </cell>
          <cell r="M99">
            <v>56717555.200000003</v>
          </cell>
          <cell r="N99">
            <v>256913152.19999999</v>
          </cell>
          <cell r="O99">
            <v>147686818</v>
          </cell>
          <cell r="P99">
            <v>0</v>
          </cell>
        </row>
        <row r="100">
          <cell r="A100" t="str">
            <v>Korea, Republic of</v>
          </cell>
          <cell r="B100">
            <v>640611800000</v>
          </cell>
          <cell r="C100">
            <v>542881200000</v>
          </cell>
          <cell r="D100">
            <v>97730600000</v>
          </cell>
          <cell r="E100">
            <v>9998900000</v>
          </cell>
          <cell r="F100">
            <v>6146000000</v>
          </cell>
          <cell r="G100">
            <v>3852900000</v>
          </cell>
          <cell r="H100">
            <v>777400000</v>
          </cell>
          <cell r="I100">
            <v>1627200000</v>
          </cell>
          <cell r="J100">
            <v>2714300000</v>
          </cell>
          <cell r="K100">
            <v>7896600000</v>
          </cell>
          <cell r="L100">
            <v>8557200000</v>
          </cell>
          <cell r="M100">
            <v>8844400000</v>
          </cell>
          <cell r="N100">
            <v>673321200000</v>
          </cell>
          <cell r="O100">
            <v>0</v>
          </cell>
          <cell r="P100">
            <v>0</v>
          </cell>
        </row>
        <row r="101">
          <cell r="A101" t="str">
            <v>Kosovo, Republic of</v>
          </cell>
          <cell r="B101">
            <v>1414300842.3</v>
          </cell>
          <cell r="C101">
            <v>357683328</v>
          </cell>
          <cell r="D101">
            <v>1056617514.3</v>
          </cell>
          <cell r="E101">
            <v>3497805.5</v>
          </cell>
          <cell r="F101">
            <v>3497805.5</v>
          </cell>
          <cell r="G101">
            <v>0</v>
          </cell>
          <cell r="H101">
            <v>0</v>
          </cell>
          <cell r="I101">
            <v>666878.30000000005</v>
          </cell>
          <cell r="J101">
            <v>5172696.7</v>
          </cell>
          <cell r="K101">
            <v>935358.3</v>
          </cell>
          <cell r="L101">
            <v>1030799436</v>
          </cell>
          <cell r="M101">
            <v>1255939693.5</v>
          </cell>
          <cell r="N101">
            <v>2916235446.8000002</v>
          </cell>
          <cell r="O101">
            <v>2007249.1</v>
          </cell>
          <cell r="P101">
            <v>0</v>
          </cell>
        </row>
        <row r="102">
          <cell r="A102" t="str">
            <v>Kuwait</v>
          </cell>
          <cell r="B102">
            <v>61391008321.400002</v>
          </cell>
          <cell r="C102">
            <v>55335404100.699997</v>
          </cell>
          <cell r="D102">
            <v>6055604220.6999998</v>
          </cell>
          <cell r="E102">
            <v>3939706144.4000001</v>
          </cell>
          <cell r="F102">
            <v>3939706144.4000001</v>
          </cell>
          <cell r="G102">
            <v>0</v>
          </cell>
          <cell r="H102">
            <v>0</v>
          </cell>
          <cell r="I102">
            <v>10268810234</v>
          </cell>
          <cell r="J102">
            <v>0</v>
          </cell>
          <cell r="K102">
            <v>2458576088.1999998</v>
          </cell>
          <cell r="L102">
            <v>0</v>
          </cell>
          <cell r="M102">
            <v>3208517.7</v>
          </cell>
          <cell r="N102">
            <v>78388166366.899994</v>
          </cell>
          <cell r="O102">
            <v>0</v>
          </cell>
          <cell r="P102">
            <v>0</v>
          </cell>
        </row>
        <row r="103">
          <cell r="A103" t="str">
            <v>Kyrgyz Republic</v>
          </cell>
          <cell r="B103">
            <v>2425023595.3000002</v>
          </cell>
          <cell r="C103">
            <v>1571439692.3</v>
          </cell>
          <cell r="D103">
            <v>853583903</v>
          </cell>
          <cell r="E103">
            <v>0</v>
          </cell>
          <cell r="F103">
            <v>0</v>
          </cell>
          <cell r="G103">
            <v>0</v>
          </cell>
          <cell r="H103">
            <v>0</v>
          </cell>
          <cell r="I103">
            <v>866750</v>
          </cell>
          <cell r="J103">
            <v>0</v>
          </cell>
          <cell r="K103">
            <v>28387063.300000001</v>
          </cell>
          <cell r="L103">
            <v>1860839968.3</v>
          </cell>
          <cell r="M103">
            <v>1976770328.5999999</v>
          </cell>
          <cell r="N103">
            <v>4431047737.1999998</v>
          </cell>
          <cell r="O103">
            <v>0</v>
          </cell>
          <cell r="P103">
            <v>0</v>
          </cell>
        </row>
        <row r="104">
          <cell r="A104" t="str">
            <v>Lao People's Democratic Republic</v>
          </cell>
          <cell r="B104">
            <v>3613060374.9000001</v>
          </cell>
          <cell r="C104">
            <v>2768987505</v>
          </cell>
          <cell r="D104">
            <v>844072869.89999998</v>
          </cell>
          <cell r="E104">
            <v>0</v>
          </cell>
          <cell r="F104">
            <v>0</v>
          </cell>
          <cell r="G104">
            <v>0</v>
          </cell>
          <cell r="H104">
            <v>0</v>
          </cell>
          <cell r="I104">
            <v>0</v>
          </cell>
          <cell r="J104">
            <v>0</v>
          </cell>
          <cell r="K104">
            <v>22475107.699999999</v>
          </cell>
          <cell r="L104">
            <v>186913196</v>
          </cell>
          <cell r="M104">
            <v>308163548.19999999</v>
          </cell>
          <cell r="N104">
            <v>4023493639.9000001</v>
          </cell>
          <cell r="O104">
            <v>0</v>
          </cell>
          <cell r="P104">
            <v>0</v>
          </cell>
        </row>
        <row r="105">
          <cell r="A105" t="str">
            <v>Latvia</v>
          </cell>
          <cell r="B105">
            <v>15922331570.700001</v>
          </cell>
          <cell r="C105">
            <v>11445159229.4</v>
          </cell>
          <cell r="D105">
            <v>4477172341.3000002</v>
          </cell>
          <cell r="E105">
            <v>172694394.19999999</v>
          </cell>
          <cell r="F105">
            <v>137115312.30000001</v>
          </cell>
          <cell r="G105">
            <v>35579081.899999999</v>
          </cell>
          <cell r="H105">
            <v>26591435.899999999</v>
          </cell>
          <cell r="I105">
            <v>6652928.0999999996</v>
          </cell>
          <cell r="J105">
            <v>205131544.19999999</v>
          </cell>
          <cell r="K105">
            <v>53199550.200000003</v>
          </cell>
          <cell r="L105">
            <v>846060281.5</v>
          </cell>
          <cell r="M105">
            <v>1001155670.9</v>
          </cell>
          <cell r="N105">
            <v>18468140430.400002</v>
          </cell>
          <cell r="O105">
            <v>269656007.19999999</v>
          </cell>
          <cell r="P105">
            <v>0</v>
          </cell>
        </row>
        <row r="106">
          <cell r="A106" t="str">
            <v>Lebanon</v>
          </cell>
          <cell r="B106">
            <v>19461266729</v>
          </cell>
          <cell r="C106">
            <v>3551410664.1999998</v>
          </cell>
          <cell r="D106">
            <v>15909856064.799999</v>
          </cell>
          <cell r="E106">
            <v>477781649.10000002</v>
          </cell>
          <cell r="F106">
            <v>444633934.5</v>
          </cell>
          <cell r="G106">
            <v>33147714.600000001</v>
          </cell>
          <cell r="H106">
            <v>9759742.1999999993</v>
          </cell>
          <cell r="I106">
            <v>44900964.100000001</v>
          </cell>
          <cell r="J106">
            <v>376684769</v>
          </cell>
          <cell r="K106">
            <v>571347044.70000005</v>
          </cell>
          <cell r="L106">
            <v>8749610108.2999992</v>
          </cell>
          <cell r="M106">
            <v>8887785339.6000004</v>
          </cell>
          <cell r="N106">
            <v>30691367063.400002</v>
          </cell>
          <cell r="O106">
            <v>0</v>
          </cell>
          <cell r="P106">
            <v>0</v>
          </cell>
        </row>
        <row r="107">
          <cell r="A107" t="str">
            <v>Lesotho</v>
          </cell>
          <cell r="B107">
            <v>974292121</v>
          </cell>
          <cell r="C107">
            <v>928611432</v>
          </cell>
          <cell r="D107">
            <v>45680689</v>
          </cell>
          <cell r="E107">
            <v>0</v>
          </cell>
          <cell r="F107">
            <v>0</v>
          </cell>
          <cell r="G107">
            <v>0</v>
          </cell>
          <cell r="H107">
            <v>0</v>
          </cell>
          <cell r="I107">
            <v>0</v>
          </cell>
          <cell r="J107">
            <v>0</v>
          </cell>
          <cell r="K107">
            <v>87681480.099999994</v>
          </cell>
          <cell r="L107">
            <v>124512377.3</v>
          </cell>
          <cell r="M107">
            <v>702884508.70000005</v>
          </cell>
          <cell r="N107">
            <v>2132015487.5999999</v>
          </cell>
          <cell r="O107">
            <v>0</v>
          </cell>
          <cell r="P107">
            <v>0</v>
          </cell>
        </row>
        <row r="108">
          <cell r="A108" t="str">
            <v>Liberia</v>
          </cell>
          <cell r="B108">
            <v>515015548.80000001</v>
          </cell>
          <cell r="C108">
            <v>277033108.19999999</v>
          </cell>
          <cell r="D108">
            <v>237982440.5</v>
          </cell>
          <cell r="E108">
            <v>0</v>
          </cell>
          <cell r="F108">
            <v>0</v>
          </cell>
          <cell r="G108">
            <v>0</v>
          </cell>
          <cell r="H108">
            <v>0</v>
          </cell>
          <cell r="I108">
            <v>0</v>
          </cell>
          <cell r="J108">
            <v>0</v>
          </cell>
          <cell r="K108">
            <v>0</v>
          </cell>
          <cell r="L108">
            <v>801908020.39999998</v>
          </cell>
          <cell r="M108">
            <v>1876881999.8</v>
          </cell>
          <cell r="N108">
            <v>2417177319.6999998</v>
          </cell>
          <cell r="O108">
            <v>0</v>
          </cell>
          <cell r="P108">
            <v>0</v>
          </cell>
        </row>
        <row r="109">
          <cell r="A109" t="str">
            <v>Libya</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A110" t="str">
            <v>Lithuania</v>
          </cell>
          <cell r="B110">
            <v>31393056868.700001</v>
          </cell>
          <cell r="C110">
            <v>24730394409.900002</v>
          </cell>
          <cell r="D110">
            <v>6662662458.8000002</v>
          </cell>
          <cell r="E110">
            <v>80589661.099999994</v>
          </cell>
          <cell r="F110">
            <v>32743353.399999999</v>
          </cell>
          <cell r="G110">
            <v>47846307.700000003</v>
          </cell>
          <cell r="H110">
            <v>26172143.399999999</v>
          </cell>
          <cell r="I110">
            <v>24583612.800000001</v>
          </cell>
          <cell r="J110">
            <v>55553354</v>
          </cell>
          <cell r="K110">
            <v>27869065.399999999</v>
          </cell>
          <cell r="L110">
            <v>1375023454.5</v>
          </cell>
          <cell r="M110">
            <v>1944348165</v>
          </cell>
          <cell r="N110">
            <v>34155491847.200001</v>
          </cell>
          <cell r="O110">
            <v>474301162</v>
          </cell>
          <cell r="P110">
            <v>0</v>
          </cell>
        </row>
        <row r="111">
          <cell r="A111" t="str">
            <v>Luxembourg</v>
          </cell>
          <cell r="B111">
            <v>113163807541.8</v>
          </cell>
          <cell r="C111">
            <v>17596077472.400002</v>
          </cell>
          <cell r="D111">
            <v>95567730069.5</v>
          </cell>
          <cell r="E111">
            <v>63213808522.699997</v>
          </cell>
          <cell r="F111">
            <v>63864112881.5</v>
          </cell>
          <cell r="G111">
            <v>-650304358.79999995</v>
          </cell>
          <cell r="H111">
            <v>48549015608.5</v>
          </cell>
          <cell r="I111">
            <v>37691692229.599998</v>
          </cell>
          <cell r="J111">
            <v>61979617025.400002</v>
          </cell>
          <cell r="K111">
            <v>8631692418.6000004</v>
          </cell>
          <cell r="L111">
            <v>5849260641.6000004</v>
          </cell>
          <cell r="M111">
            <v>9439002944.6000004</v>
          </cell>
          <cell r="N111">
            <v>345157629973.5</v>
          </cell>
          <cell r="O111">
            <v>549342974.39999998</v>
          </cell>
          <cell r="P111">
            <v>-24119699456</v>
          </cell>
        </row>
        <row r="112">
          <cell r="A112" t="str">
            <v>Macedonia, FYR</v>
          </cell>
          <cell r="B112">
            <v>4890622052.6000004</v>
          </cell>
          <cell r="C112">
            <v>3370330944</v>
          </cell>
          <cell r="D112">
            <v>1520291108.5999999</v>
          </cell>
          <cell r="E112">
            <v>35556121.600000001</v>
          </cell>
          <cell r="F112">
            <v>3643979.6</v>
          </cell>
          <cell r="G112">
            <v>31912142</v>
          </cell>
          <cell r="H112">
            <v>3900900.8</v>
          </cell>
          <cell r="I112">
            <v>4321985.2</v>
          </cell>
          <cell r="J112">
            <v>323432.3</v>
          </cell>
          <cell r="K112">
            <v>4172460.6</v>
          </cell>
          <cell r="L112">
            <v>1778003547</v>
          </cell>
          <cell r="M112">
            <v>1856373214.7</v>
          </cell>
          <cell r="N112">
            <v>6914055237.8999996</v>
          </cell>
          <cell r="O112">
            <v>0</v>
          </cell>
          <cell r="P112">
            <v>0</v>
          </cell>
        </row>
        <row r="113">
          <cell r="A113" t="str">
            <v>Madagascar</v>
          </cell>
          <cell r="B113">
            <v>3120949346.1999998</v>
          </cell>
          <cell r="C113">
            <v>2047709835.8</v>
          </cell>
          <cell r="D113">
            <v>1073239510.4</v>
          </cell>
          <cell r="E113">
            <v>109515.3</v>
          </cell>
          <cell r="F113">
            <v>109515.3</v>
          </cell>
          <cell r="G113">
            <v>0</v>
          </cell>
          <cell r="H113">
            <v>0</v>
          </cell>
          <cell r="I113">
            <v>95787.9</v>
          </cell>
          <cell r="J113">
            <v>0</v>
          </cell>
          <cell r="K113">
            <v>63199.4</v>
          </cell>
          <cell r="L113">
            <v>445736603.39999998</v>
          </cell>
          <cell r="M113">
            <v>460068066.69999999</v>
          </cell>
          <cell r="N113">
            <v>3609131118.9000001</v>
          </cell>
          <cell r="O113">
            <v>0</v>
          </cell>
          <cell r="P113">
            <v>0</v>
          </cell>
        </row>
        <row r="114">
          <cell r="A114" t="str">
            <v>Malawi</v>
          </cell>
          <cell r="B114">
            <v>1554820399.0999999</v>
          </cell>
          <cell r="C114">
            <v>1437822849.5999999</v>
          </cell>
          <cell r="D114">
            <v>116997549.59999999</v>
          </cell>
          <cell r="E114">
            <v>-90221.8</v>
          </cell>
          <cell r="F114">
            <v>0</v>
          </cell>
          <cell r="G114">
            <v>-90221.8</v>
          </cell>
          <cell r="H114">
            <v>0</v>
          </cell>
          <cell r="I114">
            <v>0</v>
          </cell>
          <cell r="J114">
            <v>0</v>
          </cell>
          <cell r="K114">
            <v>585866.6</v>
          </cell>
          <cell r="L114">
            <v>334927866.80000001</v>
          </cell>
          <cell r="M114">
            <v>511020141.80000001</v>
          </cell>
          <cell r="N114">
            <v>2069288877.5</v>
          </cell>
          <cell r="O114">
            <v>0</v>
          </cell>
          <cell r="P114">
            <v>0</v>
          </cell>
        </row>
        <row r="115">
          <cell r="A115" t="str">
            <v>Malaysia</v>
          </cell>
          <cell r="B115">
            <v>209568171742.10001</v>
          </cell>
          <cell r="C115">
            <v>174630973461.70001</v>
          </cell>
          <cell r="D115">
            <v>34937198280.400002</v>
          </cell>
          <cell r="E115">
            <v>0</v>
          </cell>
          <cell r="F115">
            <v>0</v>
          </cell>
          <cell r="G115">
            <v>0</v>
          </cell>
          <cell r="H115">
            <v>0</v>
          </cell>
          <cell r="I115">
            <v>0</v>
          </cell>
          <cell r="J115">
            <v>0</v>
          </cell>
          <cell r="K115">
            <v>0</v>
          </cell>
          <cell r="L115">
            <v>0</v>
          </cell>
          <cell r="M115">
            <v>3039727950.1999998</v>
          </cell>
          <cell r="N115">
            <v>225199447392.89999</v>
          </cell>
          <cell r="O115">
            <v>0</v>
          </cell>
          <cell r="P115">
            <v>0</v>
          </cell>
        </row>
        <row r="116">
          <cell r="A116" t="str">
            <v>Maldives</v>
          </cell>
          <cell r="B116">
            <v>3144785896.5</v>
          </cell>
          <cell r="C116">
            <v>239452708.09999999</v>
          </cell>
          <cell r="D116">
            <v>2905333188.4000001</v>
          </cell>
          <cell r="E116">
            <v>0</v>
          </cell>
          <cell r="F116">
            <v>0</v>
          </cell>
          <cell r="G116">
            <v>0</v>
          </cell>
          <cell r="H116">
            <v>0</v>
          </cell>
          <cell r="I116">
            <v>23627.8</v>
          </cell>
          <cell r="J116">
            <v>0</v>
          </cell>
          <cell r="K116">
            <v>6302296.7999999998</v>
          </cell>
          <cell r="L116">
            <v>21694838.399999999</v>
          </cell>
          <cell r="M116">
            <v>29240256.300000001</v>
          </cell>
          <cell r="N116">
            <v>3183995604.6999998</v>
          </cell>
          <cell r="O116">
            <v>0</v>
          </cell>
          <cell r="P116">
            <v>0</v>
          </cell>
        </row>
        <row r="117">
          <cell r="A117" t="str">
            <v>Mali</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t="str">
            <v>Malta</v>
          </cell>
          <cell r="B118">
            <v>14816023216</v>
          </cell>
          <cell r="C118">
            <v>2965739134.4000001</v>
          </cell>
          <cell r="D118">
            <v>11850284081.700001</v>
          </cell>
          <cell r="E118">
            <v>27058314.199999999</v>
          </cell>
          <cell r="F118">
            <v>14670722.300000001</v>
          </cell>
          <cell r="G118">
            <v>12387591.9</v>
          </cell>
          <cell r="H118">
            <v>3059212.5</v>
          </cell>
          <cell r="I118">
            <v>8230438277.1000004</v>
          </cell>
          <cell r="J118">
            <v>1158016095.2</v>
          </cell>
          <cell r="K118">
            <v>1679731269</v>
          </cell>
          <cell r="L118">
            <v>197255898.40000001</v>
          </cell>
          <cell r="M118">
            <v>1050302781.3</v>
          </cell>
          <cell r="N118">
            <v>27024225267.900002</v>
          </cell>
          <cell r="O118">
            <v>31286309.899999999</v>
          </cell>
          <cell r="P118">
            <v>0</v>
          </cell>
        </row>
        <row r="119">
          <cell r="A119" t="str">
            <v>Marshall Islands, Republic of</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t="str">
            <v>Mauritania</v>
          </cell>
          <cell r="B120">
            <v>1634736921.3</v>
          </cell>
          <cell r="C120">
            <v>1388560350.8</v>
          </cell>
          <cell r="D120">
            <v>246176570.5</v>
          </cell>
          <cell r="E120">
            <v>0</v>
          </cell>
          <cell r="F120">
            <v>0</v>
          </cell>
          <cell r="G120">
            <v>0</v>
          </cell>
          <cell r="H120">
            <v>0</v>
          </cell>
          <cell r="I120">
            <v>0</v>
          </cell>
          <cell r="J120">
            <v>0</v>
          </cell>
          <cell r="K120">
            <v>77368218</v>
          </cell>
          <cell r="L120">
            <v>90784057.700000003</v>
          </cell>
          <cell r="M120">
            <v>200514824.69999999</v>
          </cell>
          <cell r="N120">
            <v>1912619964</v>
          </cell>
          <cell r="O120">
            <v>0</v>
          </cell>
          <cell r="P120">
            <v>0</v>
          </cell>
        </row>
        <row r="121">
          <cell r="A121" t="str">
            <v>Mauritius</v>
          </cell>
          <cell r="B121">
            <v>5505085319.8999996</v>
          </cell>
          <cell r="C121">
            <v>2661824492.9000001</v>
          </cell>
          <cell r="D121">
            <v>2843260827</v>
          </cell>
          <cell r="E121">
            <v>3701436332.1999998</v>
          </cell>
          <cell r="F121">
            <v>3701436332.1999998</v>
          </cell>
          <cell r="G121">
            <v>0</v>
          </cell>
          <cell r="H121">
            <v>0</v>
          </cell>
          <cell r="I121">
            <v>1571852149.9000001</v>
          </cell>
          <cell r="J121">
            <v>0</v>
          </cell>
          <cell r="K121">
            <v>970567994.10000002</v>
          </cell>
          <cell r="L121">
            <v>227357207.90000001</v>
          </cell>
          <cell r="M121">
            <v>274087136.10000002</v>
          </cell>
          <cell r="N121">
            <v>12024341359.1</v>
          </cell>
          <cell r="O121">
            <v>0</v>
          </cell>
          <cell r="P121">
            <v>0</v>
          </cell>
        </row>
        <row r="122">
          <cell r="A122" t="str">
            <v>Mexico</v>
          </cell>
          <cell r="B122">
            <v>403879501502.79999</v>
          </cell>
          <cell r="C122">
            <v>380976170703.79999</v>
          </cell>
          <cell r="D122">
            <v>22903330799</v>
          </cell>
          <cell r="E122">
            <v>3997053190</v>
          </cell>
          <cell r="F122">
            <v>1738520300</v>
          </cell>
          <cell r="G122">
            <v>2258532890</v>
          </cell>
          <cell r="H122">
            <v>547990368.70000005</v>
          </cell>
          <cell r="I122">
            <v>0</v>
          </cell>
          <cell r="J122">
            <v>331792776.30000001</v>
          </cell>
          <cell r="K122">
            <v>918258382.20000005</v>
          </cell>
          <cell r="L122">
            <v>25035901806.400002</v>
          </cell>
          <cell r="M122">
            <v>25035901806.400002</v>
          </cell>
          <cell r="N122">
            <v>437190703080.20001</v>
          </cell>
          <cell r="O122">
            <v>3218876.5</v>
          </cell>
          <cell r="P122">
            <v>0</v>
          </cell>
        </row>
        <row r="123">
          <cell r="A123" t="str">
            <v>Micronesia, Federated States of</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t="str">
            <v>Moldova</v>
          </cell>
          <cell r="B124">
            <v>2475320000</v>
          </cell>
          <cell r="C124">
            <v>1506940000</v>
          </cell>
          <cell r="D124">
            <v>968380000</v>
          </cell>
          <cell r="E124">
            <v>6160000</v>
          </cell>
          <cell r="F124">
            <v>6160000</v>
          </cell>
          <cell r="G124">
            <v>0</v>
          </cell>
          <cell r="H124">
            <v>2090000</v>
          </cell>
          <cell r="I124">
            <v>180000</v>
          </cell>
          <cell r="J124">
            <v>0</v>
          </cell>
          <cell r="K124">
            <v>4330000</v>
          </cell>
          <cell r="L124">
            <v>1105110000</v>
          </cell>
          <cell r="M124">
            <v>1227450000</v>
          </cell>
          <cell r="N124">
            <v>4519600000</v>
          </cell>
          <cell r="O124">
            <v>-2840000</v>
          </cell>
          <cell r="P124">
            <v>0</v>
          </cell>
        </row>
        <row r="125">
          <cell r="A125" t="str">
            <v>Mongolia</v>
          </cell>
          <cell r="B125">
            <v>5137035808.1999998</v>
          </cell>
          <cell r="C125">
            <v>4446401782.1999998</v>
          </cell>
          <cell r="D125">
            <v>690634026</v>
          </cell>
          <cell r="E125">
            <v>821062.7</v>
          </cell>
          <cell r="F125">
            <v>821062.7</v>
          </cell>
          <cell r="G125">
            <v>0</v>
          </cell>
          <cell r="H125">
            <v>0</v>
          </cell>
          <cell r="I125">
            <v>0</v>
          </cell>
          <cell r="J125">
            <v>1039145.9</v>
          </cell>
          <cell r="K125">
            <v>2401118.7999999998</v>
          </cell>
          <cell r="L125">
            <v>288505340.80000001</v>
          </cell>
          <cell r="M125">
            <v>320447072</v>
          </cell>
          <cell r="N125">
            <v>5516317070.6999998</v>
          </cell>
          <cell r="O125">
            <v>0</v>
          </cell>
          <cell r="P125">
            <v>0</v>
          </cell>
        </row>
        <row r="126">
          <cell r="A126" t="str">
            <v>Montenegro</v>
          </cell>
          <cell r="B126">
            <v>1707115002.3</v>
          </cell>
          <cell r="C126">
            <v>360471475</v>
          </cell>
          <cell r="D126">
            <v>1346643527.3</v>
          </cell>
          <cell r="E126">
            <v>1500736.4</v>
          </cell>
          <cell r="F126">
            <v>1500736.4</v>
          </cell>
          <cell r="G126">
            <v>0</v>
          </cell>
          <cell r="H126">
            <v>0</v>
          </cell>
          <cell r="I126">
            <v>0</v>
          </cell>
          <cell r="J126">
            <v>7336808.5</v>
          </cell>
          <cell r="K126">
            <v>10915675.5</v>
          </cell>
          <cell r="L126">
            <v>170938390.69999999</v>
          </cell>
          <cell r="M126">
            <v>190513601.59999999</v>
          </cell>
          <cell r="N126">
            <v>2172308059.4000001</v>
          </cell>
          <cell r="O126">
            <v>0</v>
          </cell>
          <cell r="P126">
            <v>0</v>
          </cell>
        </row>
        <row r="127">
          <cell r="A127" t="str">
            <v>Montserrat</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Morocco</v>
          </cell>
          <cell r="B128">
            <v>33292321658.900002</v>
          </cell>
          <cell r="C128">
            <v>18618821762.099998</v>
          </cell>
          <cell r="D128">
            <v>14673499896.9</v>
          </cell>
          <cell r="E128">
            <v>273219257.80000001</v>
          </cell>
          <cell r="F128">
            <v>170031944</v>
          </cell>
          <cell r="G128">
            <v>103187313.8</v>
          </cell>
          <cell r="H128">
            <v>3857654.8</v>
          </cell>
          <cell r="I128">
            <v>166651.6</v>
          </cell>
          <cell r="J128">
            <v>0</v>
          </cell>
          <cell r="K128">
            <v>12363618.800000001</v>
          </cell>
          <cell r="L128">
            <v>7544943225.8999996</v>
          </cell>
          <cell r="M128">
            <v>8079785809.8000002</v>
          </cell>
          <cell r="N128">
            <v>41893471777.800003</v>
          </cell>
          <cell r="O128">
            <v>50763629.200000003</v>
          </cell>
          <cell r="P128">
            <v>0</v>
          </cell>
        </row>
        <row r="129">
          <cell r="A129" t="str">
            <v>Mozambique</v>
          </cell>
          <cell r="B129">
            <v>4135891581.6999998</v>
          </cell>
          <cell r="C129">
            <v>3413270865.6999998</v>
          </cell>
          <cell r="D129">
            <v>722620716</v>
          </cell>
          <cell r="E129">
            <v>0</v>
          </cell>
          <cell r="F129">
            <v>0</v>
          </cell>
          <cell r="G129">
            <v>0</v>
          </cell>
          <cell r="H129">
            <v>0</v>
          </cell>
          <cell r="I129">
            <v>0</v>
          </cell>
          <cell r="J129">
            <v>14889534.4</v>
          </cell>
          <cell r="K129">
            <v>42723707.899999999</v>
          </cell>
          <cell r="L129">
            <v>398110642.69999999</v>
          </cell>
          <cell r="M129">
            <v>938297519.20000005</v>
          </cell>
          <cell r="N129">
            <v>5186668569</v>
          </cell>
          <cell r="O129">
            <v>0</v>
          </cell>
          <cell r="P129">
            <v>0</v>
          </cell>
        </row>
        <row r="130">
          <cell r="A130" t="str">
            <v>Myanmar</v>
          </cell>
          <cell r="B130">
            <v>13817567028.1</v>
          </cell>
          <cell r="C130">
            <v>9966018283.2999992</v>
          </cell>
          <cell r="D130">
            <v>3851548744.9000001</v>
          </cell>
          <cell r="E130">
            <v>4410291</v>
          </cell>
          <cell r="F130">
            <v>4410291</v>
          </cell>
          <cell r="G130">
            <v>0</v>
          </cell>
          <cell r="H130">
            <v>0</v>
          </cell>
          <cell r="I130">
            <v>0</v>
          </cell>
          <cell r="J130">
            <v>0</v>
          </cell>
          <cell r="K130">
            <v>4286604.0999999996</v>
          </cell>
          <cell r="L130">
            <v>3450963353</v>
          </cell>
          <cell r="M130">
            <v>3817552203.0999999</v>
          </cell>
          <cell r="N130">
            <v>17975098786.400002</v>
          </cell>
          <cell r="O130">
            <v>320127431</v>
          </cell>
          <cell r="P130">
            <v>0</v>
          </cell>
        </row>
        <row r="131">
          <cell r="A131" t="str">
            <v>Namibia</v>
          </cell>
          <cell r="B131">
            <v>4937649522.3999996</v>
          </cell>
          <cell r="C131">
            <v>4015113035.8000002</v>
          </cell>
          <cell r="D131">
            <v>922536486.70000005</v>
          </cell>
          <cell r="E131">
            <v>-1866536.2</v>
          </cell>
          <cell r="F131">
            <v>129234.2</v>
          </cell>
          <cell r="G131">
            <v>-1995770.4</v>
          </cell>
          <cell r="H131">
            <v>7805779.9000000004</v>
          </cell>
          <cell r="I131">
            <v>141889476</v>
          </cell>
          <cell r="J131">
            <v>79063075.099999994</v>
          </cell>
          <cell r="K131">
            <v>67998256.200000003</v>
          </cell>
          <cell r="L131">
            <v>12792689.699999999</v>
          </cell>
          <cell r="M131">
            <v>1587145302.7</v>
          </cell>
          <cell r="N131">
            <v>6824933043.6000004</v>
          </cell>
          <cell r="O131">
            <v>0</v>
          </cell>
          <cell r="P131">
            <v>0</v>
          </cell>
        </row>
        <row r="132">
          <cell r="A132" t="str">
            <v>Nepal</v>
          </cell>
          <cell r="B132">
            <v>2243659157</v>
          </cell>
          <cell r="C132">
            <v>813179963.89999998</v>
          </cell>
          <cell r="D132">
            <v>1430479193.0999999</v>
          </cell>
          <cell r="E132">
            <v>0</v>
          </cell>
          <cell r="F132">
            <v>0</v>
          </cell>
          <cell r="G132">
            <v>0</v>
          </cell>
          <cell r="H132">
            <v>0</v>
          </cell>
          <cell r="I132">
            <v>0</v>
          </cell>
          <cell r="J132">
            <v>0</v>
          </cell>
          <cell r="K132">
            <v>205787857.80000001</v>
          </cell>
          <cell r="L132">
            <v>7220670790.3000002</v>
          </cell>
          <cell r="M132">
            <v>7590801352.1000004</v>
          </cell>
          <cell r="N132">
            <v>10271962056.5</v>
          </cell>
          <cell r="O132">
            <v>0</v>
          </cell>
          <cell r="P132">
            <v>0</v>
          </cell>
        </row>
        <row r="133">
          <cell r="A133" t="str">
            <v>Netherlands</v>
          </cell>
          <cell r="B133">
            <v>632311559869.90002</v>
          </cell>
          <cell r="C133">
            <v>488277892780</v>
          </cell>
          <cell r="D133">
            <v>144033667089.89999</v>
          </cell>
          <cell r="E133">
            <v>163162878055.29999</v>
          </cell>
          <cell r="F133">
            <v>164092158142.89999</v>
          </cell>
          <cell r="G133">
            <v>-929280087.60000002</v>
          </cell>
          <cell r="H133">
            <v>51651359627.199997</v>
          </cell>
          <cell r="I133">
            <v>15872906197.4</v>
          </cell>
          <cell r="J133">
            <v>25105856556.200001</v>
          </cell>
          <cell r="K133">
            <v>7063448207.6000004</v>
          </cell>
          <cell r="L133">
            <v>6758990855.3999996</v>
          </cell>
          <cell r="M133">
            <v>13904312505.5</v>
          </cell>
          <cell r="N133">
            <v>911470746057.80005</v>
          </cell>
          <cell r="O133">
            <v>1025176762.4</v>
          </cell>
          <cell r="P133">
            <v>-28571293696</v>
          </cell>
        </row>
        <row r="134">
          <cell r="A134" t="str">
            <v>Netherlands Antilles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t="str">
            <v>New Zealand</v>
          </cell>
          <cell r="B135">
            <v>0</v>
          </cell>
          <cell r="C135">
            <v>34428380652.199997</v>
          </cell>
          <cell r="D135">
            <v>14458802721.700001</v>
          </cell>
          <cell r="E135">
            <v>480636110</v>
          </cell>
          <cell r="F135">
            <v>489851352.10000002</v>
          </cell>
          <cell r="G135">
            <v>-9880962</v>
          </cell>
          <cell r="H135">
            <v>224251344.40000001</v>
          </cell>
          <cell r="I135">
            <v>1348258688.8</v>
          </cell>
          <cell r="J135">
            <v>746752187.70000005</v>
          </cell>
          <cell r="K135">
            <v>0</v>
          </cell>
          <cell r="L135">
            <v>758780874.70000005</v>
          </cell>
          <cell r="M135">
            <v>1439390844.7</v>
          </cell>
          <cell r="N135">
            <v>55548266538.300003</v>
          </cell>
          <cell r="O135">
            <v>0</v>
          </cell>
          <cell r="P135">
            <v>0</v>
          </cell>
        </row>
        <row r="136">
          <cell r="A136" t="str">
            <v>Nicaragua</v>
          </cell>
          <cell r="B136">
            <v>5112900000</v>
          </cell>
          <cell r="C136">
            <v>3859400000</v>
          </cell>
          <cell r="D136">
            <v>1253500000</v>
          </cell>
          <cell r="E136">
            <v>0</v>
          </cell>
          <cell r="F136">
            <v>0</v>
          </cell>
          <cell r="G136">
            <v>0</v>
          </cell>
          <cell r="H136">
            <v>0</v>
          </cell>
          <cell r="I136">
            <v>0</v>
          </cell>
          <cell r="J136">
            <v>900000</v>
          </cell>
          <cell r="K136">
            <v>4600000</v>
          </cell>
          <cell r="L136">
            <v>1528000000</v>
          </cell>
          <cell r="M136">
            <v>1528000000</v>
          </cell>
          <cell r="N136">
            <v>6665000000</v>
          </cell>
          <cell r="O136">
            <v>0</v>
          </cell>
          <cell r="P136">
            <v>0</v>
          </cell>
        </row>
        <row r="137">
          <cell r="A137" t="str">
            <v>Niger</v>
          </cell>
          <cell r="B137">
            <v>1318814336.8</v>
          </cell>
          <cell r="C137">
            <v>1087307693.8</v>
          </cell>
          <cell r="D137">
            <v>231506643</v>
          </cell>
          <cell r="E137">
            <v>955111.1</v>
          </cell>
          <cell r="F137">
            <v>955111.1</v>
          </cell>
          <cell r="G137">
            <v>0</v>
          </cell>
          <cell r="H137">
            <v>785358.7</v>
          </cell>
          <cell r="I137">
            <v>127145.3</v>
          </cell>
          <cell r="J137">
            <v>20393795</v>
          </cell>
          <cell r="K137">
            <v>9383725.8000000007</v>
          </cell>
          <cell r="L137">
            <v>191374916.30000001</v>
          </cell>
          <cell r="M137">
            <v>351255005.5</v>
          </cell>
          <cell r="N137">
            <v>1774031555.9000001</v>
          </cell>
          <cell r="O137">
            <v>0</v>
          </cell>
          <cell r="P137">
            <v>0</v>
          </cell>
        </row>
        <row r="138">
          <cell r="A138" t="str">
            <v>Nigeria</v>
          </cell>
          <cell r="B138">
            <v>50078975300</v>
          </cell>
          <cell r="C138">
            <v>46852507606.099998</v>
          </cell>
          <cell r="D138">
            <v>3226467693.9000001</v>
          </cell>
          <cell r="E138">
            <v>303860854.5</v>
          </cell>
          <cell r="F138">
            <v>275684623.60000002</v>
          </cell>
          <cell r="G138">
            <v>28176231</v>
          </cell>
          <cell r="H138">
            <v>3022232.7</v>
          </cell>
          <cell r="I138">
            <v>0</v>
          </cell>
          <cell r="J138">
            <v>23617906.199999999</v>
          </cell>
          <cell r="K138">
            <v>397391389.89999998</v>
          </cell>
          <cell r="L138">
            <v>20874666727.700001</v>
          </cell>
          <cell r="M138">
            <v>22582342030.5</v>
          </cell>
          <cell r="N138">
            <v>73611657192</v>
          </cell>
          <cell r="O138">
            <v>0</v>
          </cell>
          <cell r="P138">
            <v>0</v>
          </cell>
        </row>
        <row r="139">
          <cell r="A139" t="str">
            <v>Norway</v>
          </cell>
          <cell r="B139">
            <v>144137616590.5</v>
          </cell>
          <cell r="C139">
            <v>103351174497.7</v>
          </cell>
          <cell r="D139">
            <v>40786442092.900002</v>
          </cell>
          <cell r="E139">
            <v>9318344666.3999996</v>
          </cell>
          <cell r="F139">
            <v>7159045322.8000002</v>
          </cell>
          <cell r="G139">
            <v>2159299343.5999999</v>
          </cell>
          <cell r="H139">
            <v>1814789524.5999999</v>
          </cell>
          <cell r="I139">
            <v>15448957821.4</v>
          </cell>
          <cell r="J139">
            <v>0</v>
          </cell>
          <cell r="K139">
            <v>15057707159.6</v>
          </cell>
          <cell r="L139">
            <v>3968348794.5999999</v>
          </cell>
          <cell r="M139">
            <v>4135946390.0999999</v>
          </cell>
          <cell r="N139">
            <v>190522304604.89999</v>
          </cell>
          <cell r="O139">
            <v>0</v>
          </cell>
          <cell r="P139">
            <v>0</v>
          </cell>
        </row>
        <row r="140">
          <cell r="A140" t="str">
            <v>Oman</v>
          </cell>
          <cell r="B140">
            <v>39165686391.199997</v>
          </cell>
          <cell r="C140">
            <v>35682269598</v>
          </cell>
          <cell r="D140">
            <v>3483416793.1999998</v>
          </cell>
          <cell r="E140">
            <v>0</v>
          </cell>
          <cell r="F140">
            <v>0</v>
          </cell>
          <cell r="G140">
            <v>0</v>
          </cell>
          <cell r="H140">
            <v>0</v>
          </cell>
          <cell r="I140">
            <v>0</v>
          </cell>
          <cell r="J140">
            <v>0</v>
          </cell>
          <cell r="K140">
            <v>611393476.39999998</v>
          </cell>
          <cell r="L140">
            <v>0</v>
          </cell>
          <cell r="M140">
            <v>0</v>
          </cell>
          <cell r="N140">
            <v>39816091571.099998</v>
          </cell>
          <cell r="O140">
            <v>0</v>
          </cell>
          <cell r="P140">
            <v>0</v>
          </cell>
        </row>
        <row r="141">
          <cell r="A141" t="str">
            <v>Pakistan</v>
          </cell>
          <cell r="B141">
            <v>28604000000</v>
          </cell>
          <cell r="C141">
            <v>22707000000</v>
          </cell>
          <cell r="D141">
            <v>5897000000</v>
          </cell>
          <cell r="E141">
            <v>29000000</v>
          </cell>
          <cell r="F141">
            <v>29000000</v>
          </cell>
          <cell r="G141">
            <v>0</v>
          </cell>
          <cell r="H141">
            <v>0</v>
          </cell>
          <cell r="I141">
            <v>2000000</v>
          </cell>
          <cell r="J141">
            <v>246000000</v>
          </cell>
          <cell r="K141">
            <v>300000000</v>
          </cell>
          <cell r="L141">
            <v>21929000000</v>
          </cell>
          <cell r="M141">
            <v>22410000000</v>
          </cell>
          <cell r="N141">
            <v>51671000000</v>
          </cell>
          <cell r="O141">
            <v>0</v>
          </cell>
          <cell r="P141">
            <v>0</v>
          </cell>
        </row>
        <row r="142">
          <cell r="A142" t="str">
            <v>Palau</v>
          </cell>
          <cell r="B142">
            <v>179042919.19999999</v>
          </cell>
          <cell r="C142">
            <v>14753012.1</v>
          </cell>
          <cell r="D142">
            <v>164289907.09999999</v>
          </cell>
          <cell r="E142">
            <v>0</v>
          </cell>
          <cell r="F142">
            <v>0</v>
          </cell>
          <cell r="G142">
            <v>0</v>
          </cell>
          <cell r="H142">
            <v>0</v>
          </cell>
          <cell r="I142">
            <v>3812199.4</v>
          </cell>
          <cell r="J142">
            <v>3615594.1</v>
          </cell>
          <cell r="K142">
            <v>1337000</v>
          </cell>
          <cell r="L142">
            <v>4829310.2</v>
          </cell>
          <cell r="M142">
            <v>40286838.700000003</v>
          </cell>
          <cell r="N142">
            <v>237149628.59999999</v>
          </cell>
          <cell r="O142">
            <v>8715779.3000000007</v>
          </cell>
          <cell r="P142">
            <v>0</v>
          </cell>
        </row>
        <row r="143">
          <cell r="A143" t="str">
            <v>Panama</v>
          </cell>
          <cell r="B143">
            <v>28013400000</v>
          </cell>
          <cell r="C143">
            <v>15930500000</v>
          </cell>
          <cell r="D143">
            <v>12082900000</v>
          </cell>
          <cell r="E143">
            <v>322800000</v>
          </cell>
          <cell r="F143">
            <v>322800000</v>
          </cell>
          <cell r="G143">
            <v>0</v>
          </cell>
          <cell r="H143">
            <v>0</v>
          </cell>
          <cell r="I143">
            <v>5300000</v>
          </cell>
          <cell r="J143">
            <v>212300000</v>
          </cell>
          <cell r="K143">
            <v>1162600000</v>
          </cell>
          <cell r="L143">
            <v>738800000</v>
          </cell>
          <cell r="M143">
            <v>921400000</v>
          </cell>
          <cell r="N143">
            <v>30725000000</v>
          </cell>
          <cell r="O143">
            <v>0</v>
          </cell>
          <cell r="P143">
            <v>0</v>
          </cell>
        </row>
        <row r="144">
          <cell r="A144" t="str">
            <v>Papua New Guinea</v>
          </cell>
          <cell r="B144">
            <v>9725793430.2999992</v>
          </cell>
          <cell r="C144">
            <v>9579572402.2000008</v>
          </cell>
          <cell r="D144">
            <v>146221028.09999999</v>
          </cell>
          <cell r="E144">
            <v>4912564.2</v>
          </cell>
          <cell r="F144">
            <v>4912564.2</v>
          </cell>
          <cell r="G144">
            <v>0</v>
          </cell>
          <cell r="H144">
            <v>0</v>
          </cell>
          <cell r="I144">
            <v>0</v>
          </cell>
          <cell r="J144">
            <v>1625480.8</v>
          </cell>
          <cell r="K144">
            <v>0</v>
          </cell>
          <cell r="L144">
            <v>14846057.9</v>
          </cell>
          <cell r="M144">
            <v>378122955</v>
          </cell>
          <cell r="N144">
            <v>10120135071.4</v>
          </cell>
          <cell r="O144">
            <v>0</v>
          </cell>
          <cell r="P144">
            <v>0</v>
          </cell>
        </row>
        <row r="145">
          <cell r="A145" t="str">
            <v>Paraguay</v>
          </cell>
          <cell r="B145">
            <v>11619789592.200001</v>
          </cell>
          <cell r="C145">
            <v>10671398000</v>
          </cell>
          <cell r="D145">
            <v>948391592.20000005</v>
          </cell>
          <cell r="E145">
            <v>0</v>
          </cell>
          <cell r="F145">
            <v>0</v>
          </cell>
          <cell r="G145">
            <v>0</v>
          </cell>
          <cell r="H145">
            <v>200000</v>
          </cell>
          <cell r="I145">
            <v>0</v>
          </cell>
          <cell r="J145">
            <v>0</v>
          </cell>
          <cell r="K145">
            <v>40476636.700000003</v>
          </cell>
          <cell r="L145">
            <v>663640400</v>
          </cell>
          <cell r="M145">
            <v>673640400</v>
          </cell>
          <cell r="N145">
            <v>12334106629</v>
          </cell>
          <cell r="O145">
            <v>0</v>
          </cell>
          <cell r="P145">
            <v>0</v>
          </cell>
        </row>
        <row r="146">
          <cell r="A146" t="str">
            <v>Peru</v>
          </cell>
          <cell r="B146">
            <v>40286023052.199997</v>
          </cell>
          <cell r="C146">
            <v>34414133427.400002</v>
          </cell>
          <cell r="D146">
            <v>5871889624.8999996</v>
          </cell>
          <cell r="E146">
            <v>0</v>
          </cell>
          <cell r="F146">
            <v>0</v>
          </cell>
          <cell r="G146">
            <v>0</v>
          </cell>
          <cell r="H146">
            <v>0</v>
          </cell>
          <cell r="I146">
            <v>0</v>
          </cell>
          <cell r="J146">
            <v>0</v>
          </cell>
          <cell r="K146">
            <v>1013136620.2</v>
          </cell>
          <cell r="L146">
            <v>3335333051.3000002</v>
          </cell>
          <cell r="M146">
            <v>3339645555.0999999</v>
          </cell>
          <cell r="N146">
            <v>44638805227.5</v>
          </cell>
          <cell r="O146">
            <v>0</v>
          </cell>
          <cell r="P146">
            <v>0</v>
          </cell>
        </row>
        <row r="147">
          <cell r="A147" t="str">
            <v>Philippines</v>
          </cell>
          <cell r="B147">
            <v>72262154549.100006</v>
          </cell>
          <cell r="C147">
            <v>43197106828.900002</v>
          </cell>
          <cell r="D147">
            <v>29065047720.200001</v>
          </cell>
          <cell r="E147">
            <v>140788354.80000001</v>
          </cell>
          <cell r="F147">
            <v>142737990.5</v>
          </cell>
          <cell r="G147">
            <v>-1949635.7</v>
          </cell>
          <cell r="H147">
            <v>559182642.79999995</v>
          </cell>
          <cell r="I147">
            <v>1466357.4</v>
          </cell>
          <cell r="J147">
            <v>165224594.90000001</v>
          </cell>
          <cell r="K147">
            <v>175961372.30000001</v>
          </cell>
          <cell r="L147">
            <v>23403698883.900002</v>
          </cell>
          <cell r="M147">
            <v>24085964154.5</v>
          </cell>
          <cell r="N147">
            <v>105850709978.3</v>
          </cell>
          <cell r="O147">
            <v>0</v>
          </cell>
          <cell r="P147">
            <v>0</v>
          </cell>
        </row>
        <row r="148">
          <cell r="A148" t="str">
            <v>Poland</v>
          </cell>
          <cell r="B148">
            <v>236119000000</v>
          </cell>
          <cell r="C148">
            <v>191023000000</v>
          </cell>
          <cell r="D148">
            <v>45096000000</v>
          </cell>
          <cell r="E148">
            <v>776000000</v>
          </cell>
          <cell r="F148">
            <v>760000000</v>
          </cell>
          <cell r="G148">
            <v>16000000</v>
          </cell>
          <cell r="H148">
            <v>556000000</v>
          </cell>
          <cell r="I148">
            <v>226000000</v>
          </cell>
          <cell r="J148">
            <v>281000000</v>
          </cell>
          <cell r="K148">
            <v>158000000</v>
          </cell>
          <cell r="L148">
            <v>4936000000</v>
          </cell>
          <cell r="M148">
            <v>6443000000</v>
          </cell>
          <cell r="N148">
            <v>255011000000</v>
          </cell>
          <cell r="O148">
            <v>5427000000</v>
          </cell>
          <cell r="P148">
            <v>0</v>
          </cell>
        </row>
        <row r="149">
          <cell r="A149" t="str">
            <v>Portugal</v>
          </cell>
          <cell r="B149">
            <v>82380965591.800003</v>
          </cell>
          <cell r="C149">
            <v>54469048154.300003</v>
          </cell>
          <cell r="D149">
            <v>27911917437.5</v>
          </cell>
          <cell r="E149">
            <v>2085610375.5999999</v>
          </cell>
          <cell r="F149">
            <v>1374627295.7</v>
          </cell>
          <cell r="G149">
            <v>710983079.89999998</v>
          </cell>
          <cell r="H149">
            <v>212903596.30000001</v>
          </cell>
          <cell r="I149">
            <v>596479427.39999998</v>
          </cell>
          <cell r="J149">
            <v>3115478095.8000002</v>
          </cell>
          <cell r="K149">
            <v>745370143.79999995</v>
          </cell>
          <cell r="L149">
            <v>5814417354</v>
          </cell>
          <cell r="M149">
            <v>6394744808.1999998</v>
          </cell>
          <cell r="N149">
            <v>97897135366.399994</v>
          </cell>
          <cell r="O149">
            <v>1930868137.4000001</v>
          </cell>
          <cell r="P149">
            <v>0</v>
          </cell>
        </row>
        <row r="150">
          <cell r="A150" t="str">
            <v>Qatar</v>
          </cell>
          <cell r="B150">
            <v>92291208791.199997</v>
          </cell>
          <cell r="C150">
            <v>77294230769.199997</v>
          </cell>
          <cell r="D150">
            <v>14996978022</v>
          </cell>
          <cell r="E150">
            <v>0</v>
          </cell>
          <cell r="F150">
            <v>0</v>
          </cell>
          <cell r="G150">
            <v>0</v>
          </cell>
          <cell r="H150">
            <v>0</v>
          </cell>
          <cell r="I150">
            <v>0</v>
          </cell>
          <cell r="J150">
            <v>0</v>
          </cell>
          <cell r="K150">
            <v>0</v>
          </cell>
          <cell r="L150">
            <v>625824175.79999995</v>
          </cell>
          <cell r="M150">
            <v>625824175.79999995</v>
          </cell>
          <cell r="N150">
            <v>100710439560.39999</v>
          </cell>
          <cell r="O150">
            <v>0</v>
          </cell>
          <cell r="P150">
            <v>0</v>
          </cell>
        </row>
        <row r="151">
          <cell r="A151" t="str">
            <v>Romania</v>
          </cell>
          <cell r="B151">
            <v>72952550344.199997</v>
          </cell>
          <cell r="C151">
            <v>54492809248.800003</v>
          </cell>
          <cell r="D151">
            <v>18459741095.400002</v>
          </cell>
          <cell r="E151">
            <v>-123838941.3</v>
          </cell>
          <cell r="F151">
            <v>40946746.700000003</v>
          </cell>
          <cell r="G151">
            <v>-164785688.09999999</v>
          </cell>
          <cell r="H151">
            <v>47937654.700000003</v>
          </cell>
          <cell r="I151">
            <v>8958175.5999999996</v>
          </cell>
          <cell r="J151">
            <v>109765991.2</v>
          </cell>
          <cell r="K151">
            <v>55755916.200000003</v>
          </cell>
          <cell r="L151">
            <v>4253379029.5999999</v>
          </cell>
          <cell r="M151">
            <v>6320302808.1000004</v>
          </cell>
          <cell r="N151">
            <v>81869161076.699997</v>
          </cell>
          <cell r="O151">
            <v>1616076312.2</v>
          </cell>
          <cell r="P151">
            <v>0</v>
          </cell>
        </row>
        <row r="152">
          <cell r="A152" t="str">
            <v>Russian Federation</v>
          </cell>
          <cell r="B152">
            <v>393116240000</v>
          </cell>
          <cell r="C152">
            <v>341419060000</v>
          </cell>
          <cell r="D152">
            <v>51697180000</v>
          </cell>
          <cell r="E152">
            <v>13234750000</v>
          </cell>
          <cell r="F152">
            <v>7332240000</v>
          </cell>
          <cell r="G152">
            <v>5902510000</v>
          </cell>
          <cell r="H152">
            <v>4048080000</v>
          </cell>
          <cell r="I152">
            <v>411570000</v>
          </cell>
          <cell r="J152">
            <v>4338560000</v>
          </cell>
          <cell r="K152">
            <v>10674310000</v>
          </cell>
          <cell r="L152">
            <v>5047340000</v>
          </cell>
          <cell r="M152">
            <v>10022690000</v>
          </cell>
          <cell r="N152">
            <v>440405800000</v>
          </cell>
          <cell r="O152">
            <v>112410000</v>
          </cell>
          <cell r="P152">
            <v>0</v>
          </cell>
        </row>
        <row r="153">
          <cell r="A153" t="str">
            <v>Rwanda</v>
          </cell>
          <cell r="B153">
            <v>1521699266.9000001</v>
          </cell>
          <cell r="C153">
            <v>683672231.89999998</v>
          </cell>
          <cell r="D153">
            <v>838027034.89999998</v>
          </cell>
          <cell r="E153">
            <v>3635098.1</v>
          </cell>
          <cell r="F153">
            <v>3635098.1</v>
          </cell>
          <cell r="G153">
            <v>0</v>
          </cell>
          <cell r="H153">
            <v>0</v>
          </cell>
          <cell r="I153">
            <v>0</v>
          </cell>
          <cell r="J153">
            <v>0</v>
          </cell>
          <cell r="K153">
            <v>77966.3</v>
          </cell>
          <cell r="L153">
            <v>223069509.19999999</v>
          </cell>
          <cell r="M153">
            <v>614561594.20000005</v>
          </cell>
          <cell r="N153">
            <v>2147748400.6999998</v>
          </cell>
          <cell r="O153">
            <v>0</v>
          </cell>
          <cell r="P153">
            <v>0</v>
          </cell>
        </row>
        <row r="154">
          <cell r="A154" t="str">
            <v>Samoa</v>
          </cell>
          <cell r="B154">
            <v>215685867.09999999</v>
          </cell>
          <cell r="C154">
            <v>33784412.799999997</v>
          </cell>
          <cell r="D154">
            <v>181901454.30000001</v>
          </cell>
          <cell r="E154">
            <v>463559.6</v>
          </cell>
          <cell r="F154">
            <v>463559.6</v>
          </cell>
          <cell r="G154">
            <v>0</v>
          </cell>
          <cell r="H154">
            <v>0</v>
          </cell>
          <cell r="I154">
            <v>0</v>
          </cell>
          <cell r="J154">
            <v>0</v>
          </cell>
          <cell r="K154">
            <v>0</v>
          </cell>
          <cell r="L154">
            <v>158369618.80000001</v>
          </cell>
          <cell r="M154">
            <v>159503878.19999999</v>
          </cell>
          <cell r="N154">
            <v>383263590.60000002</v>
          </cell>
          <cell r="O154">
            <v>0</v>
          </cell>
          <cell r="P154">
            <v>0</v>
          </cell>
        </row>
        <row r="155">
          <cell r="A155" t="str">
            <v>Sao Tome and Principe</v>
          </cell>
          <cell r="B155">
            <v>90067557.900000006</v>
          </cell>
          <cell r="C155">
            <v>11306367.5</v>
          </cell>
          <cell r="D155">
            <v>78761190.400000006</v>
          </cell>
          <cell r="E155">
            <v>0</v>
          </cell>
          <cell r="F155">
            <v>0</v>
          </cell>
          <cell r="G155">
            <v>0</v>
          </cell>
          <cell r="H155">
            <v>0</v>
          </cell>
          <cell r="I155">
            <v>0</v>
          </cell>
          <cell r="J155">
            <v>0</v>
          </cell>
          <cell r="K155">
            <v>1971545.4</v>
          </cell>
          <cell r="L155">
            <v>19625881.600000001</v>
          </cell>
          <cell r="M155">
            <v>26920089.100000001</v>
          </cell>
          <cell r="N155">
            <v>123919902.8</v>
          </cell>
          <cell r="O155">
            <v>3971562</v>
          </cell>
          <cell r="P155">
            <v>0</v>
          </cell>
        </row>
        <row r="156">
          <cell r="A156" t="str">
            <v>Saudi Arabia</v>
          </cell>
          <cell r="B156">
            <v>218010394722.29999</v>
          </cell>
          <cell r="C156">
            <v>203536533333.29999</v>
          </cell>
          <cell r="D156">
            <v>14473861388.9</v>
          </cell>
          <cell r="E156">
            <v>0</v>
          </cell>
          <cell r="F156">
            <v>0</v>
          </cell>
          <cell r="G156">
            <v>0</v>
          </cell>
          <cell r="H156">
            <v>0</v>
          </cell>
          <cell r="I156">
            <v>6815498933.3000002</v>
          </cell>
          <cell r="J156">
            <v>11807783066.700001</v>
          </cell>
          <cell r="K156">
            <v>0</v>
          </cell>
          <cell r="L156">
            <v>0</v>
          </cell>
          <cell r="M156">
            <v>0</v>
          </cell>
          <cell r="N156">
            <v>243587049039.60001</v>
          </cell>
          <cell r="O156">
            <v>0</v>
          </cell>
          <cell r="P156">
            <v>0</v>
          </cell>
        </row>
        <row r="157">
          <cell r="A157" t="str">
            <v>Senegal</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t="str">
            <v>Serbia, Republic of</v>
          </cell>
          <cell r="B158">
            <v>17336960119</v>
          </cell>
          <cell r="C158">
            <v>12596883055.700001</v>
          </cell>
          <cell r="D158">
            <v>4740077063.3000002</v>
          </cell>
          <cell r="E158">
            <v>375302341.69999999</v>
          </cell>
          <cell r="F158">
            <v>139869028.69999999</v>
          </cell>
          <cell r="G158">
            <v>235433312.90000001</v>
          </cell>
          <cell r="H158">
            <v>8478925</v>
          </cell>
          <cell r="I158">
            <v>748360.3</v>
          </cell>
          <cell r="J158">
            <v>6325064.7999999998</v>
          </cell>
          <cell r="K158">
            <v>15169865</v>
          </cell>
          <cell r="L158">
            <v>3834777135.3000002</v>
          </cell>
          <cell r="M158">
            <v>4207039834</v>
          </cell>
          <cell r="N158">
            <v>22300810389.5</v>
          </cell>
          <cell r="O158">
            <v>0</v>
          </cell>
          <cell r="P158">
            <v>0</v>
          </cell>
        </row>
        <row r="159">
          <cell r="A159" t="str">
            <v>Seychelles</v>
          </cell>
          <cell r="B159">
            <v>1297074704.9000001</v>
          </cell>
          <cell r="C159">
            <v>449378320.69999999</v>
          </cell>
          <cell r="D159">
            <v>847696384.20000005</v>
          </cell>
          <cell r="E159">
            <v>1813763.9</v>
          </cell>
          <cell r="F159">
            <v>0</v>
          </cell>
          <cell r="G159">
            <v>1813763.9</v>
          </cell>
          <cell r="H159">
            <v>0</v>
          </cell>
          <cell r="I159">
            <v>0</v>
          </cell>
          <cell r="J159">
            <v>0</v>
          </cell>
          <cell r="K159">
            <v>9189564.0999999996</v>
          </cell>
          <cell r="L159">
            <v>13525432.5</v>
          </cell>
          <cell r="M159">
            <v>32106179.100000001</v>
          </cell>
          <cell r="N159">
            <v>1346574659</v>
          </cell>
          <cell r="O159">
            <v>0</v>
          </cell>
          <cell r="P159">
            <v>0</v>
          </cell>
        </row>
        <row r="160">
          <cell r="A160" t="str">
            <v>Sierra Leone</v>
          </cell>
          <cell r="B160">
            <v>781558030.5</v>
          </cell>
          <cell r="C160">
            <v>581254400.5</v>
          </cell>
          <cell r="D160">
            <v>200303630</v>
          </cell>
          <cell r="E160">
            <v>0</v>
          </cell>
          <cell r="F160">
            <v>0</v>
          </cell>
          <cell r="G160">
            <v>0</v>
          </cell>
          <cell r="H160">
            <v>0</v>
          </cell>
          <cell r="I160">
            <v>0</v>
          </cell>
          <cell r="J160">
            <v>0</v>
          </cell>
          <cell r="K160">
            <v>2156787.2000000002</v>
          </cell>
          <cell r="L160">
            <v>133750718.2</v>
          </cell>
          <cell r="M160">
            <v>571471174.89999998</v>
          </cell>
          <cell r="N160">
            <v>1359384034</v>
          </cell>
          <cell r="O160">
            <v>0</v>
          </cell>
          <cell r="P160">
            <v>0</v>
          </cell>
        </row>
        <row r="161">
          <cell r="A161" t="str">
            <v>Singapore</v>
          </cell>
          <cell r="B161">
            <v>528166130234.79999</v>
          </cell>
          <cell r="C161">
            <v>379567581328.5</v>
          </cell>
          <cell r="D161">
            <v>148598548906.20001</v>
          </cell>
          <cell r="E161">
            <v>0</v>
          </cell>
          <cell r="F161">
            <v>0</v>
          </cell>
          <cell r="G161">
            <v>0</v>
          </cell>
          <cell r="H161">
            <v>0</v>
          </cell>
          <cell r="I161">
            <v>0</v>
          </cell>
          <cell r="J161">
            <v>0</v>
          </cell>
          <cell r="K161">
            <v>0</v>
          </cell>
          <cell r="L161">
            <v>7193351881.1000004</v>
          </cell>
          <cell r="M161">
            <v>8167730438.3999996</v>
          </cell>
          <cell r="N161">
            <v>599258742021.69995</v>
          </cell>
          <cell r="O161">
            <v>0</v>
          </cell>
          <cell r="P161">
            <v>0</v>
          </cell>
        </row>
        <row r="162">
          <cell r="A162" t="str">
            <v>Sint Maarten</v>
          </cell>
          <cell r="B162">
            <v>1215687150.8</v>
          </cell>
          <cell r="C162">
            <v>128916201.09999999</v>
          </cell>
          <cell r="D162">
            <v>1086770949.7</v>
          </cell>
          <cell r="E162">
            <v>0</v>
          </cell>
          <cell r="F162">
            <v>0</v>
          </cell>
          <cell r="G162">
            <v>0</v>
          </cell>
          <cell r="H162">
            <v>78212.3</v>
          </cell>
          <cell r="I162">
            <v>2530726.2999999998</v>
          </cell>
          <cell r="J162">
            <v>731843.6</v>
          </cell>
          <cell r="K162">
            <v>4502793.3</v>
          </cell>
          <cell r="L162">
            <v>62424581</v>
          </cell>
          <cell r="M162">
            <v>67150838</v>
          </cell>
          <cell r="N162">
            <v>1344916201.0999999</v>
          </cell>
          <cell r="O162">
            <v>43681564.200000003</v>
          </cell>
          <cell r="P162">
            <v>0</v>
          </cell>
        </row>
        <row r="163">
          <cell r="A163" t="str">
            <v>Slovak Republic</v>
          </cell>
          <cell r="B163">
            <v>81375353268.899994</v>
          </cell>
          <cell r="C163">
            <v>73282428826.899994</v>
          </cell>
          <cell r="D163">
            <v>8092924442</v>
          </cell>
          <cell r="E163">
            <v>173032928.80000001</v>
          </cell>
          <cell r="F163">
            <v>292647332.89999998</v>
          </cell>
          <cell r="G163">
            <v>-119614404.09999999</v>
          </cell>
          <cell r="H163">
            <v>84115172.5</v>
          </cell>
          <cell r="I163">
            <v>15542806.699999999</v>
          </cell>
          <cell r="J163">
            <v>596295471.29999995</v>
          </cell>
          <cell r="K163">
            <v>214280481</v>
          </cell>
          <cell r="L163">
            <v>436200941.10000002</v>
          </cell>
          <cell r="M163">
            <v>609833098.10000002</v>
          </cell>
          <cell r="N163">
            <v>86205338754.800003</v>
          </cell>
          <cell r="O163">
            <v>1312275763.5999999</v>
          </cell>
          <cell r="P163">
            <v>0</v>
          </cell>
        </row>
        <row r="164">
          <cell r="A164" t="str">
            <v>Slovenia</v>
          </cell>
          <cell r="B164">
            <v>33162100289.799999</v>
          </cell>
          <cell r="C164">
            <v>26658817841</v>
          </cell>
          <cell r="D164">
            <v>6503282448.8000002</v>
          </cell>
          <cell r="E164">
            <v>21537781.100000001</v>
          </cell>
          <cell r="F164">
            <v>95023534.900000006</v>
          </cell>
          <cell r="G164">
            <v>-73485753.799999997</v>
          </cell>
          <cell r="H164">
            <v>50320159.100000001</v>
          </cell>
          <cell r="I164">
            <v>87968909.400000006</v>
          </cell>
          <cell r="J164">
            <v>296161702.69999999</v>
          </cell>
          <cell r="K164">
            <v>70361025</v>
          </cell>
          <cell r="L164">
            <v>574725503.70000005</v>
          </cell>
          <cell r="M164">
            <v>812032333.20000005</v>
          </cell>
          <cell r="N164">
            <v>35467036199.199997</v>
          </cell>
          <cell r="O164">
            <v>580740422.20000005</v>
          </cell>
          <cell r="P164">
            <v>0</v>
          </cell>
        </row>
        <row r="165">
          <cell r="A165" t="str">
            <v>Solomon Islands</v>
          </cell>
          <cell r="B165">
            <v>525935948.69999999</v>
          </cell>
          <cell r="C165">
            <v>420708944.39999998</v>
          </cell>
          <cell r="D165">
            <v>105227004.3</v>
          </cell>
          <cell r="E165">
            <v>4172995.1</v>
          </cell>
          <cell r="F165">
            <v>2708503.4</v>
          </cell>
          <cell r="G165">
            <v>1464491.7</v>
          </cell>
          <cell r="H165">
            <v>0</v>
          </cell>
          <cell r="I165">
            <v>683171.8</v>
          </cell>
          <cell r="J165">
            <v>0</v>
          </cell>
          <cell r="K165">
            <v>202523</v>
          </cell>
          <cell r="L165">
            <v>48698150.5</v>
          </cell>
          <cell r="M165">
            <v>142493974</v>
          </cell>
          <cell r="N165">
            <v>720063908.60000002</v>
          </cell>
          <cell r="O165">
            <v>36056789.200000003</v>
          </cell>
          <cell r="P165">
            <v>0</v>
          </cell>
        </row>
        <row r="166">
          <cell r="A166" t="str">
            <v>South Africa</v>
          </cell>
          <cell r="B166">
            <v>96671515284.600006</v>
          </cell>
          <cell r="C166">
            <v>81621446749.399994</v>
          </cell>
          <cell r="D166">
            <v>15050068535.200001</v>
          </cell>
          <cell r="E166">
            <v>2861894939.1999998</v>
          </cell>
          <cell r="F166">
            <v>2861894939.1999998</v>
          </cell>
          <cell r="G166">
            <v>0</v>
          </cell>
          <cell r="H166">
            <v>464884151.10000002</v>
          </cell>
          <cell r="I166">
            <v>2469527848</v>
          </cell>
          <cell r="J166">
            <v>1279286248.9000001</v>
          </cell>
          <cell r="K166">
            <v>0</v>
          </cell>
          <cell r="L166">
            <v>1652847868.5</v>
          </cell>
          <cell r="M166">
            <v>1918410810.9000001</v>
          </cell>
          <cell r="N166">
            <v>106490772762.60001</v>
          </cell>
          <cell r="O166">
            <v>0</v>
          </cell>
          <cell r="P166">
            <v>0</v>
          </cell>
        </row>
        <row r="167">
          <cell r="A167" t="str">
            <v>South Sudan</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t="str">
            <v>Spain</v>
          </cell>
          <cell r="B168">
            <v>395708103905.70001</v>
          </cell>
          <cell r="C168">
            <v>277437399591.09998</v>
          </cell>
          <cell r="D168">
            <v>118270704314.60001</v>
          </cell>
          <cell r="E168">
            <v>0</v>
          </cell>
          <cell r="F168">
            <v>0</v>
          </cell>
          <cell r="G168">
            <v>0</v>
          </cell>
          <cell r="H168">
            <v>0</v>
          </cell>
          <cell r="I168">
            <v>6388683719.8999996</v>
          </cell>
          <cell r="J168">
            <v>9657863566.8999996</v>
          </cell>
          <cell r="K168">
            <v>0</v>
          </cell>
          <cell r="L168">
            <v>12429127205.4</v>
          </cell>
          <cell r="M168">
            <v>15109737574.5</v>
          </cell>
          <cell r="N168">
            <v>468972308725.90002</v>
          </cell>
          <cell r="O168">
            <v>5047575823.1000004</v>
          </cell>
          <cell r="P168">
            <v>0</v>
          </cell>
        </row>
        <row r="169">
          <cell r="A169" t="str">
            <v>Sri Lanka</v>
          </cell>
          <cell r="B169">
            <v>16943161923.9</v>
          </cell>
          <cell r="C169">
            <v>10546498918.6</v>
          </cell>
          <cell r="D169">
            <v>6396663005.3000002</v>
          </cell>
          <cell r="E169">
            <v>16500000</v>
          </cell>
          <cell r="F169">
            <v>16500000</v>
          </cell>
          <cell r="G169">
            <v>0</v>
          </cell>
          <cell r="H169">
            <v>0</v>
          </cell>
          <cell r="I169">
            <v>0</v>
          </cell>
          <cell r="J169">
            <v>0</v>
          </cell>
          <cell r="K169">
            <v>25191001</v>
          </cell>
          <cell r="L169">
            <v>6980301474.6999998</v>
          </cell>
          <cell r="M169">
            <v>7007040682.6999998</v>
          </cell>
          <cell r="N169">
            <v>24077524758.200001</v>
          </cell>
          <cell r="O169">
            <v>0</v>
          </cell>
          <cell r="P169">
            <v>0</v>
          </cell>
        </row>
        <row r="170">
          <cell r="A170" t="str">
            <v>St. Kitts and Nevis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t="str">
            <v>St. Lucia</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t="str">
            <v>St. Vincent and the Grenadines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t="str">
            <v>Sudan</v>
          </cell>
          <cell r="B173">
            <v>4896332965.5</v>
          </cell>
          <cell r="C173">
            <v>3169011000</v>
          </cell>
          <cell r="D173">
            <v>1727321965.5</v>
          </cell>
          <cell r="E173">
            <v>4570091.0999999996</v>
          </cell>
          <cell r="F173">
            <v>4570091.0999999996</v>
          </cell>
          <cell r="G173">
            <v>0</v>
          </cell>
          <cell r="H173">
            <v>98666.5</v>
          </cell>
          <cell r="I173">
            <v>97047.1</v>
          </cell>
          <cell r="J173">
            <v>0</v>
          </cell>
          <cell r="K173">
            <v>4226545.4000000004</v>
          </cell>
          <cell r="L173">
            <v>691399944</v>
          </cell>
          <cell r="M173">
            <v>1323312829.3</v>
          </cell>
          <cell r="N173">
            <v>6235105314.8000002</v>
          </cell>
          <cell r="O173">
            <v>4192788</v>
          </cell>
          <cell r="P173">
            <v>0</v>
          </cell>
        </row>
        <row r="174">
          <cell r="A174" t="str">
            <v>Suriname</v>
          </cell>
          <cell r="B174">
            <v>1843140760.3</v>
          </cell>
          <cell r="C174">
            <v>1665753382.3</v>
          </cell>
          <cell r="D174">
            <v>177387378</v>
          </cell>
          <cell r="E174">
            <v>0</v>
          </cell>
          <cell r="F174">
            <v>0</v>
          </cell>
          <cell r="G174">
            <v>0</v>
          </cell>
          <cell r="H174">
            <v>0</v>
          </cell>
          <cell r="I174">
            <v>0</v>
          </cell>
          <cell r="J174">
            <v>6089539.2000000002</v>
          </cell>
          <cell r="K174">
            <v>8425633.9000000004</v>
          </cell>
          <cell r="L174">
            <v>135391784.5</v>
          </cell>
          <cell r="M174">
            <v>139437618.5</v>
          </cell>
          <cell r="N174">
            <v>1997093551.9000001</v>
          </cell>
          <cell r="O174">
            <v>0</v>
          </cell>
          <cell r="P174">
            <v>0</v>
          </cell>
        </row>
        <row r="175">
          <cell r="A175" t="str">
            <v>Swaziland</v>
          </cell>
          <cell r="B175">
            <v>1913566116</v>
          </cell>
          <cell r="C175">
            <v>1647238389.7</v>
          </cell>
          <cell r="D175">
            <v>266327726.30000001</v>
          </cell>
          <cell r="E175">
            <v>113060625.40000001</v>
          </cell>
          <cell r="F175">
            <v>113060625.40000001</v>
          </cell>
          <cell r="G175">
            <v>0</v>
          </cell>
          <cell r="H175">
            <v>0</v>
          </cell>
          <cell r="I175">
            <v>17958033.100000001</v>
          </cell>
          <cell r="J175">
            <v>0</v>
          </cell>
          <cell r="K175">
            <v>83617196.099999994</v>
          </cell>
          <cell r="L175">
            <v>106974501.2</v>
          </cell>
          <cell r="M175">
            <v>854840554.20000005</v>
          </cell>
          <cell r="N175">
            <v>2999029228</v>
          </cell>
          <cell r="O175">
            <v>0</v>
          </cell>
          <cell r="P175">
            <v>0</v>
          </cell>
        </row>
        <row r="176">
          <cell r="A176" t="str">
            <v>Sweden</v>
          </cell>
          <cell r="B176">
            <v>224712181948.60001</v>
          </cell>
          <cell r="C176">
            <v>152053987083.29999</v>
          </cell>
          <cell r="D176">
            <v>72658194865.300003</v>
          </cell>
          <cell r="E176">
            <v>27149151154.400002</v>
          </cell>
          <cell r="F176">
            <v>20035054840.099998</v>
          </cell>
          <cell r="G176">
            <v>7114096314.3000002</v>
          </cell>
          <cell r="H176">
            <v>2061637013.4000001</v>
          </cell>
          <cell r="I176">
            <v>10747615063.1</v>
          </cell>
          <cell r="J176">
            <v>3294613513.4000001</v>
          </cell>
          <cell r="K176">
            <v>1120168765.5</v>
          </cell>
          <cell r="L176">
            <v>3222527641.5999999</v>
          </cell>
          <cell r="M176">
            <v>5170804958.6999998</v>
          </cell>
          <cell r="N176">
            <v>278601307849.29999</v>
          </cell>
          <cell r="O176">
            <v>972094155.89999998</v>
          </cell>
          <cell r="P176">
            <v>0</v>
          </cell>
        </row>
        <row r="177">
          <cell r="A177" t="str">
            <v>Switzerland</v>
          </cell>
          <cell r="B177">
            <v>416057624981.90002</v>
          </cell>
          <cell r="C177">
            <v>303078102174.29999</v>
          </cell>
          <cell r="D177">
            <v>112979522807.60001</v>
          </cell>
          <cell r="E177">
            <v>90456474443.800003</v>
          </cell>
          <cell r="F177">
            <v>55500102546</v>
          </cell>
          <cell r="G177">
            <v>34956371897.900002</v>
          </cell>
          <cell r="H177">
            <v>11982453411.799999</v>
          </cell>
          <cell r="I177">
            <v>14765007346.799999</v>
          </cell>
          <cell r="J177">
            <v>15578549378.799999</v>
          </cell>
          <cell r="K177">
            <v>0</v>
          </cell>
          <cell r="L177">
            <v>30802983186.900002</v>
          </cell>
          <cell r="M177">
            <v>37796785216.099998</v>
          </cell>
          <cell r="N177">
            <v>609164224051</v>
          </cell>
          <cell r="O177">
            <v>0</v>
          </cell>
          <cell r="P177">
            <v>0</v>
          </cell>
        </row>
        <row r="178">
          <cell r="A178" t="str">
            <v>Syrian Arab Republic</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t="str">
            <v>Tajikistan</v>
          </cell>
          <cell r="B179">
            <v>824360083</v>
          </cell>
          <cell r="C179">
            <v>571969550</v>
          </cell>
          <cell r="D179">
            <v>252390533</v>
          </cell>
          <cell r="E179">
            <v>0</v>
          </cell>
          <cell r="F179">
            <v>0</v>
          </cell>
          <cell r="G179">
            <v>0</v>
          </cell>
          <cell r="H179">
            <v>0</v>
          </cell>
          <cell r="I179">
            <v>0</v>
          </cell>
          <cell r="J179">
            <v>138580</v>
          </cell>
          <cell r="K179">
            <v>96605558</v>
          </cell>
          <cell r="L179">
            <v>625101274.70000005</v>
          </cell>
          <cell r="M179">
            <v>670179990.29999995</v>
          </cell>
          <cell r="N179">
            <v>3233839757.0999999</v>
          </cell>
          <cell r="O179">
            <v>0</v>
          </cell>
          <cell r="P179">
            <v>0</v>
          </cell>
        </row>
        <row r="180">
          <cell r="A180" t="str">
            <v>Tanzania</v>
          </cell>
          <cell r="B180">
            <v>8813810070.7999992</v>
          </cell>
          <cell r="C180">
            <v>5402330357.8999996</v>
          </cell>
          <cell r="D180">
            <v>3411479712.9000001</v>
          </cell>
          <cell r="E180">
            <v>0</v>
          </cell>
          <cell r="F180">
            <v>0</v>
          </cell>
          <cell r="G180">
            <v>0</v>
          </cell>
          <cell r="H180">
            <v>0</v>
          </cell>
          <cell r="I180">
            <v>0</v>
          </cell>
          <cell r="J180">
            <v>0</v>
          </cell>
          <cell r="K180">
            <v>32874500</v>
          </cell>
          <cell r="L180">
            <v>365305527.39999998</v>
          </cell>
          <cell r="M180">
            <v>559590670.29999995</v>
          </cell>
          <cell r="N180">
            <v>9483680872.8999996</v>
          </cell>
          <cell r="O180">
            <v>0</v>
          </cell>
          <cell r="P180">
            <v>0</v>
          </cell>
        </row>
        <row r="181">
          <cell r="A181" t="str">
            <v>Thailand</v>
          </cell>
          <cell r="B181">
            <v>275804645084</v>
          </cell>
          <cell r="C181">
            <v>214045850000</v>
          </cell>
          <cell r="D181">
            <v>61758795084</v>
          </cell>
          <cell r="E181">
            <v>-5715012.7999999998</v>
          </cell>
          <cell r="F181">
            <v>783818638.60000002</v>
          </cell>
          <cell r="G181">
            <v>-789533651.39999998</v>
          </cell>
          <cell r="H181">
            <v>0</v>
          </cell>
          <cell r="I181">
            <v>814884858.10000002</v>
          </cell>
          <cell r="J181">
            <v>641784125.20000005</v>
          </cell>
          <cell r="K181">
            <v>1318746713.5999999</v>
          </cell>
          <cell r="L181">
            <v>10411350000</v>
          </cell>
          <cell r="M181">
            <v>10468310000</v>
          </cell>
          <cell r="N181">
            <v>291168845768.09998</v>
          </cell>
          <cell r="O181">
            <v>96600000</v>
          </cell>
          <cell r="P181">
            <v>0</v>
          </cell>
        </row>
        <row r="182">
          <cell r="A182" t="str">
            <v>Timor-Leste, Dem. Rep. of</v>
          </cell>
          <cell r="B182">
            <v>91006899.599999994</v>
          </cell>
          <cell r="C182">
            <v>18048200</v>
          </cell>
          <cell r="D182">
            <v>72958700</v>
          </cell>
          <cell r="E182">
            <v>0</v>
          </cell>
          <cell r="F182">
            <v>0</v>
          </cell>
          <cell r="G182">
            <v>0</v>
          </cell>
          <cell r="H182">
            <v>0</v>
          </cell>
          <cell r="I182">
            <v>0</v>
          </cell>
          <cell r="J182">
            <v>324390000</v>
          </cell>
          <cell r="K182">
            <v>99200</v>
          </cell>
          <cell r="L182">
            <v>57458100</v>
          </cell>
          <cell r="M182">
            <v>318513607.80000001</v>
          </cell>
          <cell r="N182">
            <v>1717150597.5</v>
          </cell>
          <cell r="O182">
            <v>978866800</v>
          </cell>
          <cell r="P182">
            <v>0</v>
          </cell>
        </row>
        <row r="183">
          <cell r="A183" t="str">
            <v>Togo</v>
          </cell>
          <cell r="B183">
            <v>1498086404</v>
          </cell>
          <cell r="C183">
            <v>1010544832.4</v>
          </cell>
          <cell r="D183">
            <v>487541571.60000002</v>
          </cell>
          <cell r="E183">
            <v>170130161.09999999</v>
          </cell>
          <cell r="F183">
            <v>170130161.09999999</v>
          </cell>
          <cell r="G183">
            <v>0</v>
          </cell>
          <cell r="H183">
            <v>27331158.100000001</v>
          </cell>
          <cell r="I183">
            <v>67630.5</v>
          </cell>
          <cell r="J183">
            <v>49848718.5</v>
          </cell>
          <cell r="K183">
            <v>53439980.299999997</v>
          </cell>
          <cell r="L183">
            <v>373295617.10000002</v>
          </cell>
          <cell r="M183">
            <v>450421998</v>
          </cell>
          <cell r="N183">
            <v>2308497458.0999999</v>
          </cell>
          <cell r="O183">
            <v>12060201.1</v>
          </cell>
          <cell r="P183">
            <v>0</v>
          </cell>
        </row>
        <row r="184">
          <cell r="A184" t="str">
            <v>Tonga</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t="str">
            <v>Trinidad and Tobago</v>
          </cell>
          <cell r="B185">
            <v>12271749648.1</v>
          </cell>
          <cell r="C185">
            <v>11113947176.5</v>
          </cell>
          <cell r="D185">
            <v>1157802471.5999999</v>
          </cell>
          <cell r="E185">
            <v>125765605.3</v>
          </cell>
          <cell r="F185">
            <v>122242168.90000001</v>
          </cell>
          <cell r="G185">
            <v>3523436.4</v>
          </cell>
          <cell r="H185">
            <v>0</v>
          </cell>
          <cell r="I185">
            <v>129205919.40000001</v>
          </cell>
          <cell r="J185">
            <v>149915703.40000001</v>
          </cell>
          <cell r="K185">
            <v>61803990.799999997</v>
          </cell>
          <cell r="L185">
            <v>156636596.19999999</v>
          </cell>
          <cell r="M185">
            <v>172220990.59999999</v>
          </cell>
          <cell r="N185">
            <v>12982076365.5</v>
          </cell>
          <cell r="O185">
            <v>0</v>
          </cell>
          <cell r="P185">
            <v>0</v>
          </cell>
        </row>
        <row r="186">
          <cell r="A186" t="str">
            <v>Tunisia</v>
          </cell>
          <cell r="B186">
            <v>17452928057.099998</v>
          </cell>
          <cell r="C186">
            <v>14158771426.799999</v>
          </cell>
          <cell r="D186">
            <v>3294156630.3000002</v>
          </cell>
          <cell r="E186">
            <v>39864907.899999999</v>
          </cell>
          <cell r="F186">
            <v>39864907.899999999</v>
          </cell>
          <cell r="G186">
            <v>0</v>
          </cell>
          <cell r="H186">
            <v>0</v>
          </cell>
          <cell r="I186">
            <v>5148792.5</v>
          </cell>
          <cell r="J186">
            <v>0</v>
          </cell>
          <cell r="K186">
            <v>113426368.40000001</v>
          </cell>
          <cell r="L186">
            <v>1797387370.2</v>
          </cell>
          <cell r="M186">
            <v>1974536417.5</v>
          </cell>
          <cell r="N186">
            <v>19904619894.200001</v>
          </cell>
          <cell r="O186">
            <v>0</v>
          </cell>
          <cell r="P186">
            <v>0</v>
          </cell>
        </row>
        <row r="187">
          <cell r="A187" t="str">
            <v>Turkey</v>
          </cell>
          <cell r="B187">
            <v>198858000000</v>
          </cell>
          <cell r="C187">
            <v>151970000000</v>
          </cell>
          <cell r="D187">
            <v>46888000000</v>
          </cell>
          <cell r="E187">
            <v>221000000</v>
          </cell>
          <cell r="F187">
            <v>187000000</v>
          </cell>
          <cell r="G187">
            <v>34000000</v>
          </cell>
          <cell r="H187">
            <v>4000000</v>
          </cell>
          <cell r="I187">
            <v>0</v>
          </cell>
          <cell r="J187">
            <v>2081000000</v>
          </cell>
          <cell r="K187">
            <v>1722000000</v>
          </cell>
          <cell r="L187">
            <v>1558000000</v>
          </cell>
          <cell r="M187">
            <v>2473000000</v>
          </cell>
          <cell r="N187">
            <v>205802000000</v>
          </cell>
          <cell r="O187">
            <v>0</v>
          </cell>
          <cell r="P187">
            <v>0</v>
          </cell>
        </row>
        <row r="188">
          <cell r="A188" t="str">
            <v>Tuvalu</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t="str">
            <v>Uganda</v>
          </cell>
          <cell r="B189">
            <v>4859418123.1999998</v>
          </cell>
          <cell r="C189">
            <v>2667186166.8000002</v>
          </cell>
          <cell r="D189">
            <v>2192231956.4000001</v>
          </cell>
          <cell r="E189">
            <v>287623.90000000002</v>
          </cell>
          <cell r="F189">
            <v>0</v>
          </cell>
          <cell r="G189">
            <v>287623.90000000002</v>
          </cell>
          <cell r="H189">
            <v>0</v>
          </cell>
          <cell r="I189">
            <v>0</v>
          </cell>
          <cell r="J189">
            <v>0</v>
          </cell>
          <cell r="K189">
            <v>3589024.2</v>
          </cell>
          <cell r="L189">
            <v>1284706631.2</v>
          </cell>
          <cell r="M189">
            <v>1462869129.8</v>
          </cell>
          <cell r="N189">
            <v>6354506230.3999996</v>
          </cell>
          <cell r="O189">
            <v>0</v>
          </cell>
          <cell r="P189">
            <v>0</v>
          </cell>
        </row>
        <row r="190">
          <cell r="A190" t="str">
            <v>Ukraine</v>
          </cell>
          <cell r="B190">
            <v>47862000000</v>
          </cell>
          <cell r="C190">
            <v>35420000000</v>
          </cell>
          <cell r="D190">
            <v>12442000000</v>
          </cell>
          <cell r="E190">
            <v>42000000</v>
          </cell>
          <cell r="F190">
            <v>42000000</v>
          </cell>
          <cell r="G190">
            <v>0</v>
          </cell>
          <cell r="H190">
            <v>0</v>
          </cell>
          <cell r="I190">
            <v>1000000</v>
          </cell>
          <cell r="J190">
            <v>3000000</v>
          </cell>
          <cell r="K190">
            <v>109000000</v>
          </cell>
          <cell r="L190">
            <v>2541000000</v>
          </cell>
          <cell r="M190">
            <v>3432000000</v>
          </cell>
          <cell r="N190">
            <v>55592000000</v>
          </cell>
          <cell r="O190">
            <v>0</v>
          </cell>
          <cell r="P190">
            <v>0</v>
          </cell>
        </row>
        <row r="191">
          <cell r="A191" t="str">
            <v>United Kingdom</v>
          </cell>
          <cell r="B191">
            <v>790497255482.90002</v>
          </cell>
          <cell r="C191">
            <v>439347248589.5</v>
          </cell>
          <cell r="D191">
            <v>351150006893.40002</v>
          </cell>
          <cell r="E191">
            <v>84431403689.199997</v>
          </cell>
          <cell r="F191">
            <v>83615452637</v>
          </cell>
          <cell r="G191">
            <v>815951052.20000005</v>
          </cell>
          <cell r="H191">
            <v>9947611404.5</v>
          </cell>
          <cell r="I191">
            <v>36183845581.099998</v>
          </cell>
          <cell r="J191">
            <v>36247547768.599998</v>
          </cell>
          <cell r="K191">
            <v>31285744938</v>
          </cell>
          <cell r="L191">
            <v>22030439621.599998</v>
          </cell>
          <cell r="M191">
            <v>30366513694.299999</v>
          </cell>
          <cell r="N191">
            <v>1000000000000</v>
          </cell>
          <cell r="O191">
            <v>2995330853.4000001</v>
          </cell>
          <cell r="P191">
            <v>0</v>
          </cell>
        </row>
        <row r="192">
          <cell r="A192" t="str">
            <v>United States</v>
          </cell>
          <cell r="B192">
            <v>2300000000000</v>
          </cell>
          <cell r="C192">
            <v>1500000000000</v>
          </cell>
          <cell r="D192">
            <v>753150000000</v>
          </cell>
          <cell r="E192">
            <v>416422000000</v>
          </cell>
          <cell r="F192">
            <v>125507000000</v>
          </cell>
          <cell r="G192">
            <v>290915000000</v>
          </cell>
          <cell r="H192">
            <v>20486000000</v>
          </cell>
          <cell r="I192">
            <v>203053000000</v>
          </cell>
          <cell r="J192">
            <v>104910000000</v>
          </cell>
          <cell r="K192">
            <v>21547000000</v>
          </cell>
          <cell r="L192">
            <v>98007000000</v>
          </cell>
          <cell r="M192">
            <v>126097000000</v>
          </cell>
          <cell r="N192">
            <v>3200000000000</v>
          </cell>
          <cell r="O192">
            <v>0</v>
          </cell>
          <cell r="P192">
            <v>0</v>
          </cell>
        </row>
        <row r="193">
          <cell r="A193" t="str">
            <v>Uruguay</v>
          </cell>
          <cell r="B193">
            <v>12216722168.5</v>
          </cell>
          <cell r="C193">
            <v>9091334715</v>
          </cell>
          <cell r="D193">
            <v>3125387453.5</v>
          </cell>
          <cell r="E193">
            <v>27665926</v>
          </cell>
          <cell r="F193">
            <v>27665926</v>
          </cell>
          <cell r="G193">
            <v>0</v>
          </cell>
          <cell r="H193">
            <v>5148784.5999999996</v>
          </cell>
          <cell r="I193">
            <v>29423795.899999999</v>
          </cell>
          <cell r="J193">
            <v>110108019.09999999</v>
          </cell>
          <cell r="K193">
            <v>114046256.8</v>
          </cell>
          <cell r="L193">
            <v>157732928.90000001</v>
          </cell>
          <cell r="M193">
            <v>179405930</v>
          </cell>
          <cell r="N193">
            <v>12682520880.799999</v>
          </cell>
          <cell r="O193">
            <v>0</v>
          </cell>
          <cell r="P193">
            <v>0</v>
          </cell>
        </row>
        <row r="194">
          <cell r="A194" t="str">
            <v>Vanuatu</v>
          </cell>
          <cell r="B194">
            <v>321786383</v>
          </cell>
          <cell r="C194">
            <v>38847651.899999999</v>
          </cell>
          <cell r="D194">
            <v>282938731.10000002</v>
          </cell>
          <cell r="E194">
            <v>1447943.2</v>
          </cell>
          <cell r="F194">
            <v>894337.4</v>
          </cell>
          <cell r="G194">
            <v>553605.9</v>
          </cell>
          <cell r="H194">
            <v>0</v>
          </cell>
          <cell r="I194">
            <v>0</v>
          </cell>
          <cell r="J194">
            <v>0</v>
          </cell>
          <cell r="K194">
            <v>2789273</v>
          </cell>
          <cell r="L194">
            <v>44335984.399999999</v>
          </cell>
          <cell r="M194">
            <v>80782468.900000006</v>
          </cell>
          <cell r="N194">
            <v>438958020</v>
          </cell>
          <cell r="O194">
            <v>3574768.3</v>
          </cell>
          <cell r="P194">
            <v>0</v>
          </cell>
        </row>
        <row r="195">
          <cell r="A195" t="str">
            <v>Venezuela, Republica Bolivariana de</v>
          </cell>
          <cell r="B195">
            <v>38867000000</v>
          </cell>
          <cell r="C195">
            <v>37232000000</v>
          </cell>
          <cell r="D195">
            <v>1635000000</v>
          </cell>
          <cell r="E195">
            <v>600000000</v>
          </cell>
          <cell r="F195">
            <v>382000000</v>
          </cell>
          <cell r="G195">
            <v>218000000</v>
          </cell>
          <cell r="H195">
            <v>0</v>
          </cell>
          <cell r="I195">
            <v>2000000</v>
          </cell>
          <cell r="J195">
            <v>101000000</v>
          </cell>
          <cell r="K195">
            <v>127000000</v>
          </cell>
          <cell r="L195">
            <v>651000000</v>
          </cell>
          <cell r="M195">
            <v>651000000</v>
          </cell>
          <cell r="N195">
            <v>40369000000</v>
          </cell>
          <cell r="O195">
            <v>0</v>
          </cell>
          <cell r="P195">
            <v>0</v>
          </cell>
        </row>
        <row r="196">
          <cell r="A196" t="str">
            <v>Vietnam</v>
          </cell>
          <cell r="B196">
            <v>173312000000</v>
          </cell>
          <cell r="C196">
            <v>162112000000</v>
          </cell>
          <cell r="D196">
            <v>11200000000</v>
          </cell>
          <cell r="E196">
            <v>0</v>
          </cell>
          <cell r="F196">
            <v>0</v>
          </cell>
          <cell r="G196">
            <v>0</v>
          </cell>
          <cell r="H196">
            <v>0</v>
          </cell>
          <cell r="I196">
            <v>0</v>
          </cell>
          <cell r="J196">
            <v>0</v>
          </cell>
          <cell r="K196">
            <v>0</v>
          </cell>
          <cell r="L196">
            <v>8286000000</v>
          </cell>
          <cell r="M196">
            <v>8586000000</v>
          </cell>
          <cell r="N196">
            <v>182297000000</v>
          </cell>
          <cell r="O196">
            <v>0</v>
          </cell>
          <cell r="P196">
            <v>0</v>
          </cell>
        </row>
        <row r="197">
          <cell r="A197" t="str">
            <v>West Bank and Gaza</v>
          </cell>
          <cell r="B197">
            <v>2338093670</v>
          </cell>
          <cell r="C197">
            <v>1755345246.5</v>
          </cell>
          <cell r="D197">
            <v>582748423.5</v>
          </cell>
          <cell r="E197">
            <v>4445422.9000000004</v>
          </cell>
          <cell r="F197">
            <v>4445422.9000000004</v>
          </cell>
          <cell r="G197">
            <v>0</v>
          </cell>
          <cell r="H197">
            <v>0</v>
          </cell>
          <cell r="I197">
            <v>75475480.200000003</v>
          </cell>
          <cell r="J197">
            <v>0</v>
          </cell>
          <cell r="K197">
            <v>59314031.899999999</v>
          </cell>
          <cell r="L197">
            <v>1388066279.7</v>
          </cell>
          <cell r="M197">
            <v>1875391607</v>
          </cell>
          <cell r="N197">
            <v>6016625936.6000004</v>
          </cell>
          <cell r="O197">
            <v>0</v>
          </cell>
          <cell r="P197">
            <v>0</v>
          </cell>
        </row>
        <row r="198">
          <cell r="A198" t="str">
            <v>Yemen, Republic of</v>
          </cell>
          <cell r="B198">
            <v>1867305763.5</v>
          </cell>
          <cell r="C198">
            <v>1438879485.3</v>
          </cell>
          <cell r="D198">
            <v>428426278.19999999</v>
          </cell>
          <cell r="E198">
            <v>0</v>
          </cell>
          <cell r="F198">
            <v>0</v>
          </cell>
          <cell r="G198">
            <v>0</v>
          </cell>
          <cell r="H198">
            <v>0</v>
          </cell>
          <cell r="I198">
            <v>0</v>
          </cell>
          <cell r="J198">
            <v>0</v>
          </cell>
          <cell r="K198">
            <v>22663559.300000001</v>
          </cell>
          <cell r="L198">
            <v>3350500000</v>
          </cell>
          <cell r="M198">
            <v>3396230000</v>
          </cell>
          <cell r="N198">
            <v>5286199322.8000002</v>
          </cell>
          <cell r="O198">
            <v>0</v>
          </cell>
          <cell r="P198">
            <v>0</v>
          </cell>
        </row>
        <row r="199">
          <cell r="A199" t="str">
            <v>Zambia</v>
          </cell>
          <cell r="B199">
            <v>8223465324.3999996</v>
          </cell>
          <cell r="C199">
            <v>7361953250.3000002</v>
          </cell>
          <cell r="D199">
            <v>861512074.10000002</v>
          </cell>
          <cell r="E199">
            <v>0</v>
          </cell>
          <cell r="F199">
            <v>0</v>
          </cell>
          <cell r="G199">
            <v>0</v>
          </cell>
          <cell r="H199">
            <v>0</v>
          </cell>
          <cell r="I199">
            <v>0</v>
          </cell>
          <cell r="J199">
            <v>0</v>
          </cell>
          <cell r="K199">
            <v>8269038.2999999998</v>
          </cell>
          <cell r="L199">
            <v>47046538.100000001</v>
          </cell>
          <cell r="M199">
            <v>268771634</v>
          </cell>
          <cell r="N199">
            <v>8500505996.6999998</v>
          </cell>
          <cell r="O199">
            <v>0</v>
          </cell>
          <cell r="P199">
            <v>0</v>
          </cell>
        </row>
        <row r="200">
          <cell r="A200" t="str">
            <v>Zimbabwe</v>
          </cell>
          <cell r="B200">
            <v>4000889014.5</v>
          </cell>
          <cell r="C200">
            <v>3614205601.9000001</v>
          </cell>
          <cell r="D200">
            <v>386683412.60000002</v>
          </cell>
          <cell r="E200">
            <v>193119619.80000001</v>
          </cell>
          <cell r="F200">
            <v>193119619.80000001</v>
          </cell>
          <cell r="G200">
            <v>0</v>
          </cell>
          <cell r="H200">
            <v>0</v>
          </cell>
          <cell r="I200">
            <v>0</v>
          </cell>
          <cell r="J200">
            <v>0</v>
          </cell>
          <cell r="K200">
            <v>2809166.7</v>
          </cell>
          <cell r="L200">
            <v>2164698972.3000002</v>
          </cell>
          <cell r="M200">
            <v>2164698972.3000002</v>
          </cell>
          <cell r="N200">
            <v>6376351345</v>
          </cell>
          <cell r="O200">
            <v>11877951.4</v>
          </cell>
          <cell r="P200">
            <v>0</v>
          </cell>
        </row>
        <row r="201">
          <cell r="A201" t="str">
            <v>Total</v>
          </cell>
          <cell r="B201">
            <v>23368063840695.598</v>
          </cell>
          <cell r="C201">
            <v>17663202691584.402</v>
          </cell>
          <cell r="D201">
            <v>5557368687995.1992</v>
          </cell>
          <cell r="E201">
            <v>1717691880379.1992</v>
          </cell>
          <cell r="F201">
            <v>1128353186813.2996</v>
          </cell>
          <cell r="G201">
            <v>575818959328.59998</v>
          </cell>
          <cell r="H201">
            <v>272795410456.39999</v>
          </cell>
          <cell r="I201">
            <v>635654231180.59985</v>
          </cell>
          <cell r="J201">
            <v>707477657723.2002</v>
          </cell>
          <cell r="K201">
            <v>249569791468.30002</v>
          </cell>
          <cell r="L201">
            <v>835784507752.09973</v>
          </cell>
          <cell r="M201">
            <v>1057479040324.5994</v>
          </cell>
          <cell r="N201">
            <v>28623611498528.195</v>
          </cell>
          <cell r="O201">
            <v>107691737704.69997</v>
          </cell>
          <cell r="P201">
            <v>-102743343360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5">
          <cell r="A5" t="str">
            <v>Afghanistan, Islamic Republic of</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1"/>
      <sheetName val="Table 2"/>
      <sheetName val="DataF1-3"/>
      <sheetName val="F1"/>
      <sheetName val="F2"/>
      <sheetName val="F3"/>
      <sheetName val="DataF4"/>
      <sheetName val="F4"/>
      <sheetName val="Backup tables"/>
      <sheetName val="Table U1"/>
      <sheetName val="Select updated tables from TWZ&gt;"/>
      <sheetName val="TableB10"/>
      <sheetName val="TableB11"/>
      <sheetName val="TableC1"/>
      <sheetName val="TableC2"/>
      <sheetName val="TableC3"/>
      <sheetName val="TableC4"/>
      <sheetName val="TableC4b"/>
      <sheetName val="TableC4c"/>
      <sheetName val="TableC4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3">
          <cell r="C93">
            <v>16.178595305999998</v>
          </cell>
        </row>
        <row r="94">
          <cell r="C94">
            <v>21.502871950999999</v>
          </cell>
        </row>
        <row r="99">
          <cell r="C99">
            <v>1.9079665540000001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6"/>
  <sheetViews>
    <sheetView workbookViewId="0">
      <selection activeCell="I16" sqref="I16"/>
    </sheetView>
  </sheetViews>
  <sheetFormatPr defaultColWidth="8.81640625" defaultRowHeight="15.5" x14ac:dyDescent="0.35"/>
  <cols>
    <col min="1" max="1" width="8.81640625" style="462"/>
    <col min="2" max="2" width="29.453125" style="462" customWidth="1"/>
    <col min="3" max="16384" width="8.81640625" style="462"/>
  </cols>
  <sheetData>
    <row r="2" spans="2:2" ht="23" x14ac:dyDescent="0.5">
      <c r="B2" s="792" t="s">
        <v>556</v>
      </c>
    </row>
    <row r="3" spans="2:2" x14ac:dyDescent="0.35">
      <c r="B3" s="507"/>
    </row>
    <row r="4" spans="2:2" x14ac:dyDescent="0.35">
      <c r="B4" s="508"/>
    </row>
    <row r="5" spans="2:2" x14ac:dyDescent="0.35">
      <c r="B5" s="509"/>
    </row>
    <row r="6" spans="2:2" x14ac:dyDescent="0.35">
      <c r="B6" s="509"/>
    </row>
    <row r="8" spans="2:2" x14ac:dyDescent="0.35">
      <c r="B8" s="510"/>
    </row>
    <row r="14" spans="2:2" x14ac:dyDescent="0.35">
      <c r="B14" s="510"/>
    </row>
    <row r="15" spans="2:2" x14ac:dyDescent="0.35">
      <c r="B15" s="509"/>
    </row>
    <row r="17" spans="2:2" x14ac:dyDescent="0.35">
      <c r="B17" s="510"/>
    </row>
    <row r="18" spans="2:2" x14ac:dyDescent="0.35">
      <c r="B18" s="509"/>
    </row>
    <row r="19" spans="2:2" x14ac:dyDescent="0.35">
      <c r="B19" s="509"/>
    </row>
    <row r="20" spans="2:2" x14ac:dyDescent="0.35">
      <c r="B20" s="509"/>
    </row>
    <row r="21" spans="2:2" x14ac:dyDescent="0.35">
      <c r="B21" s="509"/>
    </row>
    <row r="22" spans="2:2" x14ac:dyDescent="0.35">
      <c r="B22" s="509"/>
    </row>
    <row r="23" spans="2:2" x14ac:dyDescent="0.35">
      <c r="B23" s="509"/>
    </row>
    <row r="24" spans="2:2" x14ac:dyDescent="0.35">
      <c r="B24" s="509"/>
    </row>
    <row r="25" spans="2:2" x14ac:dyDescent="0.35">
      <c r="B25" s="509"/>
    </row>
    <row r="26" spans="2:2" x14ac:dyDescent="0.35">
      <c r="B26" s="50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2:AM103"/>
  <sheetViews>
    <sheetView zoomScale="91" zoomScaleNormal="70" workbookViewId="0">
      <pane xSplit="2" ySplit="7" topLeftCell="F57" activePane="bottomRight" state="frozen"/>
      <selection activeCell="U31" sqref="U31"/>
      <selection pane="topRight" activeCell="U31" sqref="U31"/>
      <selection pane="bottomLeft" activeCell="U31" sqref="U31"/>
      <selection pane="bottomRight" activeCell="AD39" sqref="AD39"/>
    </sheetView>
  </sheetViews>
  <sheetFormatPr defaultColWidth="10.81640625" defaultRowHeight="15.5" outlineLevelCol="1" x14ac:dyDescent="0.35"/>
  <cols>
    <col min="1" max="1" width="7.6328125" style="1" hidden="1" customWidth="1"/>
    <col min="2" max="3" width="19" style="33" customWidth="1"/>
    <col min="4" max="6" width="11.36328125" style="33" customWidth="1"/>
    <col min="7" max="7" width="23.453125" style="33" bestFit="1" customWidth="1"/>
    <col min="8" max="8" width="11.36328125" style="34" customWidth="1"/>
    <col min="9" max="10" width="11.36328125" style="33" customWidth="1"/>
    <col min="11" max="11" width="11.36328125" style="34" customWidth="1"/>
    <col min="12" max="14" width="11.36328125" style="33" customWidth="1"/>
    <col min="15" max="15" width="9.6328125" style="33" customWidth="1"/>
    <col min="16" max="16" width="11.36328125" style="33" customWidth="1"/>
    <col min="17" max="17" width="11.36328125" style="78" customWidth="1"/>
    <col min="18" max="19" width="11.36328125" style="33" customWidth="1"/>
    <col min="20" max="20" width="11.36328125" style="57" hidden="1" customWidth="1" outlineLevel="1"/>
    <col min="21" max="21" width="11.36328125" style="34" customWidth="1" collapsed="1"/>
    <col min="22" max="22" width="10.1796875" style="67" customWidth="1"/>
    <col min="23" max="23" width="11.36328125" style="33" customWidth="1"/>
    <col min="24" max="24" width="11.36328125" style="496" customWidth="1"/>
    <col min="25" max="27" width="11.36328125" style="33" customWidth="1"/>
    <col min="28" max="29" width="10.81640625" style="33"/>
    <col min="30" max="30" width="15.81640625" style="33" customWidth="1"/>
    <col min="31" max="31" width="10.81640625" style="33"/>
    <col min="32" max="39" width="10.81640625" style="33" customWidth="1"/>
    <col min="40" max="16384" width="10.81640625" style="33"/>
  </cols>
  <sheetData>
    <row r="2" spans="1:39" ht="16" thickBot="1" x14ac:dyDescent="0.4"/>
    <row r="3" spans="1:39" ht="32.25" customHeight="1" x14ac:dyDescent="0.35">
      <c r="B3" s="552" t="s">
        <v>445</v>
      </c>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4"/>
    </row>
    <row r="4" spans="1:39" ht="12.5" customHeight="1" x14ac:dyDescent="0.35">
      <c r="B4" s="93"/>
      <c r="C4" s="45"/>
      <c r="D4" s="94"/>
      <c r="E4" s="94"/>
      <c r="F4" s="94"/>
      <c r="G4" s="94"/>
      <c r="H4" s="45"/>
      <c r="I4" s="45"/>
      <c r="J4" s="45"/>
      <c r="K4" s="45"/>
      <c r="L4" s="45"/>
      <c r="M4" s="45"/>
      <c r="N4" s="45"/>
      <c r="O4" s="45"/>
      <c r="P4" s="44"/>
      <c r="Q4" s="95"/>
      <c r="R4" s="94"/>
      <c r="S4" s="94"/>
      <c r="T4" s="96"/>
      <c r="U4" s="97"/>
      <c r="V4" s="98"/>
      <c r="W4" s="44"/>
      <c r="X4" s="497"/>
      <c r="Y4" s="44"/>
      <c r="Z4" s="44"/>
      <c r="AA4" s="44"/>
      <c r="AB4" s="44"/>
      <c r="AC4" s="44"/>
      <c r="AD4" s="81"/>
    </row>
    <row r="5" spans="1:39" ht="12" customHeight="1" x14ac:dyDescent="0.35">
      <c r="B5" s="118"/>
      <c r="C5" s="79" t="s">
        <v>1</v>
      </c>
      <c r="D5" s="79" t="s">
        <v>2</v>
      </c>
      <c r="E5" s="79" t="s">
        <v>3</v>
      </c>
      <c r="F5" s="79" t="s">
        <v>4</v>
      </c>
      <c r="G5" s="79" t="s">
        <v>5</v>
      </c>
      <c r="H5" s="79" t="s">
        <v>6</v>
      </c>
      <c r="I5" s="79" t="s">
        <v>7</v>
      </c>
      <c r="J5" s="79" t="s">
        <v>8</v>
      </c>
      <c r="K5" s="251" t="s">
        <v>9</v>
      </c>
      <c r="L5" s="79" t="s">
        <v>10</v>
      </c>
      <c r="M5" s="79" t="s">
        <v>11</v>
      </c>
      <c r="N5" s="79" t="s">
        <v>12</v>
      </c>
      <c r="O5" s="79" t="s">
        <v>13</v>
      </c>
      <c r="P5" s="79" t="s">
        <v>14</v>
      </c>
      <c r="Q5" s="79" t="s">
        <v>331</v>
      </c>
      <c r="R5" s="79" t="s">
        <v>330</v>
      </c>
      <c r="S5" s="185" t="s">
        <v>376</v>
      </c>
      <c r="T5" s="79"/>
      <c r="U5" s="79" t="s">
        <v>377</v>
      </c>
      <c r="V5" s="79" t="s">
        <v>378</v>
      </c>
      <c r="W5" s="79" t="s">
        <v>379</v>
      </c>
      <c r="X5" s="498" t="s">
        <v>380</v>
      </c>
      <c r="Y5" s="79" t="s">
        <v>381</v>
      </c>
      <c r="Z5" s="79" t="s">
        <v>382</v>
      </c>
      <c r="AA5" s="79" t="s">
        <v>383</v>
      </c>
      <c r="AB5" s="79" t="s">
        <v>384</v>
      </c>
      <c r="AC5" s="79" t="s">
        <v>385</v>
      </c>
      <c r="AD5" s="119" t="s">
        <v>386</v>
      </c>
    </row>
    <row r="6" spans="1:39" ht="85" customHeight="1" x14ac:dyDescent="0.35">
      <c r="B6" s="99"/>
      <c r="C6" s="560" t="s">
        <v>345</v>
      </c>
      <c r="D6" s="560" t="s">
        <v>341</v>
      </c>
      <c r="E6" s="564" t="s">
        <v>365</v>
      </c>
      <c r="F6" s="565"/>
      <c r="G6" s="566"/>
      <c r="H6" s="562" t="s">
        <v>370</v>
      </c>
      <c r="I6" s="562"/>
      <c r="J6" s="563"/>
      <c r="K6" s="577" t="s">
        <v>339</v>
      </c>
      <c r="L6" s="120" t="s">
        <v>338</v>
      </c>
      <c r="M6" s="120" t="s">
        <v>371</v>
      </c>
      <c r="N6" s="573" t="s">
        <v>337</v>
      </c>
      <c r="O6" s="571" t="s">
        <v>336</v>
      </c>
      <c r="P6" s="571" t="s">
        <v>363</v>
      </c>
      <c r="Q6" s="571" t="s">
        <v>342</v>
      </c>
      <c r="R6" s="571" t="s">
        <v>335</v>
      </c>
      <c r="S6" s="571" t="s">
        <v>341</v>
      </c>
      <c r="T6" s="571" t="s">
        <v>356</v>
      </c>
      <c r="U6" s="560" t="s">
        <v>361</v>
      </c>
      <c r="V6" s="567" t="s">
        <v>360</v>
      </c>
      <c r="W6" s="569" t="s">
        <v>334</v>
      </c>
      <c r="X6" s="575" t="s">
        <v>367</v>
      </c>
      <c r="Y6" s="557" t="s">
        <v>368</v>
      </c>
      <c r="Z6" s="558"/>
      <c r="AA6" s="558"/>
      <c r="AB6" s="558"/>
      <c r="AC6" s="559"/>
      <c r="AD6" s="560" t="s">
        <v>372</v>
      </c>
      <c r="AE6" s="34"/>
      <c r="AF6" s="34"/>
      <c r="AG6" s="34"/>
    </row>
    <row r="7" spans="1:39" ht="65" customHeight="1" x14ac:dyDescent="0.35">
      <c r="A7" s="5"/>
      <c r="B7" s="99"/>
      <c r="C7" s="561"/>
      <c r="D7" s="561"/>
      <c r="E7" s="191" t="s">
        <v>343</v>
      </c>
      <c r="F7" s="242" t="s">
        <v>439</v>
      </c>
      <c r="G7" s="243" t="s">
        <v>366</v>
      </c>
      <c r="H7" s="161" t="s">
        <v>359</v>
      </c>
      <c r="I7" s="244" t="s">
        <v>358</v>
      </c>
      <c r="J7" s="244" t="s">
        <v>340</v>
      </c>
      <c r="K7" s="578"/>
      <c r="L7" s="123"/>
      <c r="M7" s="123"/>
      <c r="N7" s="574"/>
      <c r="O7" s="572"/>
      <c r="P7" s="572"/>
      <c r="Q7" s="572"/>
      <c r="R7" s="572"/>
      <c r="S7" s="572"/>
      <c r="T7" s="572"/>
      <c r="U7" s="561"/>
      <c r="V7" s="568"/>
      <c r="W7" s="570"/>
      <c r="X7" s="576"/>
      <c r="Y7" s="121" t="s">
        <v>369</v>
      </c>
      <c r="Z7" s="122" t="s">
        <v>362</v>
      </c>
      <c r="AA7" s="91" t="s">
        <v>358</v>
      </c>
      <c r="AB7" s="122" t="s">
        <v>340</v>
      </c>
      <c r="AC7" s="190" t="s">
        <v>344</v>
      </c>
      <c r="AD7" s="561"/>
    </row>
    <row r="8" spans="1:39" ht="40" customHeight="1" x14ac:dyDescent="0.35">
      <c r="A8" s="5"/>
      <c r="B8" s="124" t="s">
        <v>31</v>
      </c>
      <c r="C8" s="125">
        <f>SUM(C9:C43)</f>
        <v>53456.516094780003</v>
      </c>
      <c r="D8" s="113">
        <f>SUM(D9:D43)</f>
        <v>1256.2996496300002</v>
      </c>
      <c r="E8" s="126"/>
      <c r="F8" s="127"/>
      <c r="G8" s="128"/>
      <c r="H8" s="112">
        <f>SUM(H9:H43)</f>
        <v>18463.979297094651</v>
      </c>
      <c r="I8" s="86">
        <f>SUM(I9:I43)</f>
        <v>15768.964328283453</v>
      </c>
      <c r="J8" s="112">
        <f>+H8-I8</f>
        <v>2695.0149688111978</v>
      </c>
      <c r="K8" s="246">
        <f t="shared" ref="K8:K39" si="0">L8+M8</f>
        <v>6930.0853180880422</v>
      </c>
      <c r="L8" s="248">
        <f t="shared" ref="L8:R8" si="1">SUM(L9:L43)</f>
        <v>6755.1671891502501</v>
      </c>
      <c r="M8" s="112">
        <f t="shared" si="1"/>
        <v>174.91812893779183</v>
      </c>
      <c r="N8" s="129">
        <f t="shared" si="1"/>
        <v>1291.0496773509547</v>
      </c>
      <c r="O8" s="88">
        <f t="shared" si="1"/>
        <v>1133.6080391257015</v>
      </c>
      <c r="P8" s="241">
        <f t="shared" si="1"/>
        <v>963.53911461042992</v>
      </c>
      <c r="Q8" s="86">
        <f t="shared" si="1"/>
        <v>-17.476490712538407</v>
      </c>
      <c r="R8" s="86">
        <f t="shared" si="1"/>
        <v>174.91812893779183</v>
      </c>
      <c r="S8" s="86"/>
      <c r="T8" s="86">
        <f>SUM(T9:T43)</f>
        <v>192.65161531998822</v>
      </c>
      <c r="U8" s="113">
        <f>SUM(U9:U43)</f>
        <v>116.24083485749998</v>
      </c>
      <c r="V8" s="113">
        <f>SUM(V9:V43)</f>
        <v>5522.7948058795864</v>
      </c>
      <c r="W8" s="125">
        <f>K8-N8</f>
        <v>5639.0356407370873</v>
      </c>
      <c r="X8" s="499">
        <f>+D8/K8</f>
        <v>0.18128198888850097</v>
      </c>
      <c r="Y8" s="130"/>
      <c r="Z8" s="131"/>
      <c r="AA8" s="131"/>
      <c r="AB8" s="131"/>
      <c r="AC8" s="132"/>
      <c r="AD8" s="133">
        <f>AD11+AD23+AD29+AD31+AD40</f>
        <v>454.60153170754899</v>
      </c>
      <c r="AF8" s="37">
        <f>+N8-'[2]Table U2'!H9</f>
        <v>329.91287267949463</v>
      </c>
    </row>
    <row r="9" spans="1:39" ht="14.25" customHeight="1" x14ac:dyDescent="0.35">
      <c r="A9" s="1" t="str">
        <f>+VLOOKUP(B9,[7]Sheet1!$A$1:$C$65536,3,0)</f>
        <v>AUS</v>
      </c>
      <c r="B9" s="99" t="s">
        <v>32</v>
      </c>
      <c r="C9" s="83">
        <f>+[2]GDPgrowth!H4</f>
        <v>1391.95251037</v>
      </c>
      <c r="D9" s="84">
        <f>+VLOOKUP($A9,[2]globaltaxrev!A:B,2,0)</f>
        <v>65.748720000000006</v>
      </c>
      <c r="E9" s="101">
        <f t="shared" ref="E9:E51" si="2">+IFERROR(D9/L9,"")</f>
        <v>0.2533290621301581</v>
      </c>
      <c r="F9" s="102">
        <f>IFERROR(VLOOKUP(B9,'[2]CBC- IRS'!A:N,14,0),"")</f>
        <v>0.33141248726505834</v>
      </c>
      <c r="G9" s="103">
        <f>+IF(MIN(E9,F9)&gt;0,MIN(E9,F9),MAX(E9,F9))</f>
        <v>0.2533290621301581</v>
      </c>
      <c r="H9" s="104">
        <f>+VLOOKUP($B9,[2]OECDimp!$A$2:$M$44,8,0)/1000</f>
        <v>586.96574999999996</v>
      </c>
      <c r="I9" s="104">
        <f t="shared" ref="I9:I43" si="3">+H9-J9</f>
        <v>392.2198921688032</v>
      </c>
      <c r="J9" s="88">
        <f>+O9/[2]TableA7!M10</f>
        <v>194.74585783119673</v>
      </c>
      <c r="K9" s="247">
        <f t="shared" si="0"/>
        <v>259.53879688000001</v>
      </c>
      <c r="L9" s="105">
        <f>+VLOOKUP($B9,[2]OECDimp!$A$2:$M$44,2,0)/1000</f>
        <v>259.53879688000001</v>
      </c>
      <c r="M9" s="87">
        <f t="shared" ref="M9:M43" si="4">R9</f>
        <v>0</v>
      </c>
      <c r="N9" s="90">
        <f>P9+Q9+R9+S9</f>
        <v>53.329089536549247</v>
      </c>
      <c r="O9" s="88">
        <f t="shared" ref="O9:O43" si="5">+P9+S9</f>
        <v>53.329089536549247</v>
      </c>
      <c r="P9" s="106">
        <f>+VLOOKUP(A9,[2]ROU_E_2018!A:B,2,0)/1000</f>
        <v>39.8192813</v>
      </c>
      <c r="Q9" s="88">
        <f>+IFERROR(VLOOKUP(B9,'[2]SPE FDI income'!A:H,7,0)-VLOOKUP(B9,'[2]SPE FDI income'!A:H,8,0),0)/1000</f>
        <v>0</v>
      </c>
      <c r="R9" s="88">
        <f>+(+TableB10!K10+TableB10!N10)/1000</f>
        <v>0</v>
      </c>
      <c r="S9" s="88">
        <f t="shared" ref="S9:S43" si="6">+(P9)*(G9/(1-G9))+1%*R9</f>
        <v>13.509808236549249</v>
      </c>
      <c r="T9" s="88">
        <f>+IFERROR(VLOOKUP('Table U1'!A9,'[2]fdiinterest_net (2)'!A:D,3,0),0)/1000000000</f>
        <v>0</v>
      </c>
      <c r="U9" s="107"/>
      <c r="V9" s="89">
        <f t="shared" ref="V9:V43" si="7">+K9-N9-U9</f>
        <v>206.20970734345076</v>
      </c>
      <c r="W9" s="134">
        <f t="shared" ref="W9:W43" si="8">K9-N9-U9</f>
        <v>206.20970734345076</v>
      </c>
      <c r="X9" s="500">
        <f t="shared" ref="X9:X72" si="9">+D9/K9</f>
        <v>0.2533290621301581</v>
      </c>
      <c r="Y9" s="108">
        <f t="shared" ref="Y9:Y40" si="10">+L9/H9</f>
        <v>0.44217025760020928</v>
      </c>
      <c r="Z9" s="109">
        <f t="shared" ref="Z9:Z40" si="11">+K9/H9</f>
        <v>0.44217025760020928</v>
      </c>
      <c r="AA9" s="109">
        <f t="shared" ref="AA9:AA40" si="12">+W9/I9</f>
        <v>0.52575025250045815</v>
      </c>
      <c r="AB9" s="102">
        <f t="shared" ref="AB9:AB40" si="13">+N9/J9</f>
        <v>0.27383940346897767</v>
      </c>
      <c r="AC9" s="110">
        <f>+IFERROR(VLOOKUP(B9,'[2]Table II.F 1'!A:I,9,0),"")</f>
        <v>0.20146365761140272</v>
      </c>
      <c r="AD9" s="111">
        <f t="shared" ref="AD9:AD43" si="14">+(AB9-AA9)*J9</f>
        <v>-49.058594391620758</v>
      </c>
      <c r="AF9" s="37">
        <f>+N9-'[2]Table U2'!H10</f>
        <v>25.754436684901709</v>
      </c>
      <c r="AL9" s="37"/>
      <c r="AM9" s="37"/>
    </row>
    <row r="10" spans="1:39" ht="14.25" customHeight="1" x14ac:dyDescent="0.35">
      <c r="A10" s="1" t="str">
        <f>+VLOOKUP(B10,[7]Sheet1!$A$1:$C$65536,3,0)</f>
        <v>AUT</v>
      </c>
      <c r="B10" s="99" t="s">
        <v>33</v>
      </c>
      <c r="C10" s="83">
        <f>+[2]GDPgrowth!H5</f>
        <v>445.01187270000003</v>
      </c>
      <c r="D10" s="84">
        <f>+VLOOKUP($B10,[2]OECDimp!$A$2:$M$44,3,0)/1000</f>
        <v>12.08515173</v>
      </c>
      <c r="E10" s="101">
        <f t="shared" si="2"/>
        <v>0.22324789824445621</v>
      </c>
      <c r="F10" s="102">
        <f>IFERROR(VLOOKUP(B10,'[2]CBC- IRS'!A:N,14,0),"")</f>
        <v>0.2917244006504548</v>
      </c>
      <c r="G10" s="103">
        <f t="shared" ref="G10:G71" si="15">+IF(MIN(E10,F10)&gt;0,MIN(E10,F10),MAX(E10,F10))</f>
        <v>0.22324789824445621</v>
      </c>
      <c r="H10" s="104">
        <f>+VLOOKUP($B10,[2]OECDimp!$A$2:$M$44,8,0)/1000</f>
        <v>149.77431250000001</v>
      </c>
      <c r="I10" s="104">
        <f t="shared" si="3"/>
        <v>106.97695496764052</v>
      </c>
      <c r="J10" s="88">
        <f>IFERROR(VLOOKUP(B10,'[2]Eurostat personel cost'!$A$14:$D$43,4,0)*H10,'Table U1'!O10/VLOOKUP('Table U1'!B10,'[2]Table II.F 1'!A:I,9,0))</f>
        <v>42.797357532359491</v>
      </c>
      <c r="K10" s="247">
        <f t="shared" si="0"/>
        <v>54.133328130000002</v>
      </c>
      <c r="L10" s="105">
        <f>+VLOOKUP($B10,[2]OECDimp!$A$2:$M$44,2,0)/1000</f>
        <v>54.133328130000002</v>
      </c>
      <c r="M10" s="87">
        <f t="shared" si="4"/>
        <v>0</v>
      </c>
      <c r="N10" s="90">
        <f t="shared" ref="N10:N43" si="16">P10+Q10+R10+S10</f>
        <v>19.992909780254116</v>
      </c>
      <c r="O10" s="88">
        <f t="shared" si="5"/>
        <v>20.211201507557369</v>
      </c>
      <c r="P10" s="106">
        <f>+VLOOKUP(A10,[2]ROU_E_2018!A:B,2,0)/1000</f>
        <v>15.699093250000001</v>
      </c>
      <c r="Q10" s="88">
        <f>+IFERROR(VLOOKUP(B10,'[2]SPE FDI income'!A:H,7,0)-VLOOKUP(B10,'[2]SPE FDI income'!A:H,8,0),0)/1000</f>
        <v>-0.21829172730325339</v>
      </c>
      <c r="R10" s="88">
        <f>+(+TableB10!K11+TableB10!N11)/1000</f>
        <v>0</v>
      </c>
      <c r="S10" s="88">
        <f t="shared" si="6"/>
        <v>4.5121082575573679</v>
      </c>
      <c r="T10" s="88">
        <f>+IFERROR(VLOOKUP('Table U1'!A10,'[2]fdiinterest_net (2)'!A:D,3,0),0)/1000000000</f>
        <v>1.7490399999999999</v>
      </c>
      <c r="U10" s="107"/>
      <c r="V10" s="89">
        <f t="shared" si="7"/>
        <v>34.140418349745886</v>
      </c>
      <c r="W10" s="86">
        <f t="shared" si="8"/>
        <v>34.140418349745886</v>
      </c>
      <c r="X10" s="500">
        <f t="shared" si="9"/>
        <v>0.22324789824445621</v>
      </c>
      <c r="Y10" s="108">
        <f t="shared" si="10"/>
        <v>0.3614326597559912</v>
      </c>
      <c r="Z10" s="109">
        <f t="shared" si="11"/>
        <v>0.3614326597559912</v>
      </c>
      <c r="AA10" s="109">
        <f t="shared" si="12"/>
        <v>0.31913806445577952</v>
      </c>
      <c r="AB10" s="102">
        <f t="shared" si="13"/>
        <v>0.46715290225891365</v>
      </c>
      <c r="AC10" s="110">
        <f>+IFERROR(VLOOKUP(B10,'[2]Table II.F 1'!A:I,9,0),"")</f>
        <v>0.32348682305241816</v>
      </c>
      <c r="AD10" s="111">
        <f t="shared" si="14"/>
        <v>6.3346439335549309</v>
      </c>
      <c r="AF10" s="37">
        <f>+N10-'[2]Table U2'!H11</f>
        <v>8.9500755103531109</v>
      </c>
      <c r="AL10" s="37"/>
    </row>
    <row r="11" spans="1:39" ht="14.25" customHeight="1" x14ac:dyDescent="0.35">
      <c r="A11" s="1" t="str">
        <f>+VLOOKUP(B11,[7]Sheet1!$A$1:$C$65536,3,0)</f>
        <v>BEL</v>
      </c>
      <c r="B11" s="99" t="s">
        <v>34</v>
      </c>
      <c r="C11" s="83">
        <f>+[2]GDPgrowth!H6</f>
        <v>535.37625815000001</v>
      </c>
      <c r="D11" s="84">
        <f>+VLOOKUP($B11,[2]OECDimp!$A$2:$M$44,3,0)/1000</f>
        <v>19.854781719999998</v>
      </c>
      <c r="E11" s="101">
        <f t="shared" si="2"/>
        <v>0.2416002446680634</v>
      </c>
      <c r="F11" s="102">
        <f>IFERROR(VLOOKUP(B11,'[2]CBC- IRS'!A:N,14,0),"")</f>
        <v>0.20016760928990016</v>
      </c>
      <c r="G11" s="103">
        <f t="shared" si="15"/>
        <v>0.20016760928990016</v>
      </c>
      <c r="H11" s="104">
        <f>+VLOOKUP($B11,[2]OECDimp!$A$2:$M$44,8,0)/1000</f>
        <v>190.55140625000001</v>
      </c>
      <c r="I11" s="104">
        <f t="shared" si="3"/>
        <v>141.21681845049488</v>
      </c>
      <c r="J11" s="88">
        <f>IFERROR(VLOOKUP(B11,'[2]Eurostat personel cost'!$A$14:$D$43,4,0)*H11,'Table U1'!O11/VLOOKUP('Table U1'!B11,'[2]Table II.F 1'!A:I,9,0))</f>
        <v>49.334587799505137</v>
      </c>
      <c r="K11" s="247">
        <f t="shared" si="0"/>
        <v>82.18030469</v>
      </c>
      <c r="L11" s="105">
        <f>+VLOOKUP($B11,[2]OECDimp!$A$2:$M$44,2,0)/1000</f>
        <v>82.18030469</v>
      </c>
      <c r="M11" s="87">
        <f t="shared" si="4"/>
        <v>0</v>
      </c>
      <c r="N11" s="90">
        <f t="shared" si="16"/>
        <v>49.284085800780559</v>
      </c>
      <c r="O11" s="88">
        <f t="shared" si="5"/>
        <v>49.284085800780559</v>
      </c>
      <c r="P11" s="106">
        <f>+VLOOKUP(A11,[2]ROU_E_2018!A:B,2,0)/1000</f>
        <v>39.419008169999998</v>
      </c>
      <c r="Q11" s="88">
        <f>+IFERROR(VLOOKUP(B11,'[2]SPE FDI income'!A:H,7,0)-VLOOKUP(B11,'[2]SPE FDI income'!A:H,8,0),0)/1000</f>
        <v>0</v>
      </c>
      <c r="R11" s="88">
        <f>+(1+G11)*(+TableB10!K12+TableB10!N12)/1000</f>
        <v>0</v>
      </c>
      <c r="S11" s="88">
        <f t="shared" si="6"/>
        <v>9.8650776307805597</v>
      </c>
      <c r="T11" s="88">
        <f>+IFERROR(VLOOKUP('Table U1'!A11,'[2]fdiinterest_net (2)'!A:D,3,0),0)/1000000000</f>
        <v>8.8752099999999992</v>
      </c>
      <c r="U11" s="107"/>
      <c r="V11" s="89">
        <f t="shared" si="7"/>
        <v>32.89621888921944</v>
      </c>
      <c r="W11" s="86">
        <f t="shared" si="8"/>
        <v>32.89621888921944</v>
      </c>
      <c r="X11" s="500">
        <f t="shared" si="9"/>
        <v>0.2416002446680634</v>
      </c>
      <c r="Y11" s="108">
        <f t="shared" si="10"/>
        <v>0.43127629602576073</v>
      </c>
      <c r="Z11" s="109">
        <f t="shared" si="11"/>
        <v>0.43127629602576073</v>
      </c>
      <c r="AA11" s="109">
        <f t="shared" si="12"/>
        <v>0.23294830778779776</v>
      </c>
      <c r="AB11" s="102">
        <f t="shared" si="13"/>
        <v>0.99897633686674714</v>
      </c>
      <c r="AC11" s="110">
        <f>+IFERROR(VLOOKUP(B11,'[2]Table II.F 1'!A:I,9,0),"")</f>
        <v>0.64485150275653569</v>
      </c>
      <c r="AD11" s="111">
        <f t="shared" si="14"/>
        <v>37.791677057477301</v>
      </c>
      <c r="AF11" s="37">
        <f>+N11-'[2]Table U2'!H12</f>
        <v>17.549810850320345</v>
      </c>
      <c r="AL11" s="37"/>
    </row>
    <row r="12" spans="1:39" x14ac:dyDescent="0.35">
      <c r="A12" s="1" t="str">
        <f>+VLOOKUP(B12,[7]Sheet1!$A$1:$C$65536,3,0)</f>
        <v>CAN</v>
      </c>
      <c r="B12" s="99" t="s">
        <v>35</v>
      </c>
      <c r="C12" s="83">
        <f>+[2]GDPgrowth!H7</f>
        <v>1742.01504548</v>
      </c>
      <c r="D12" s="84">
        <f>+VLOOKUP($B12,[2]OECDimp!$A$2:$M$44,3,0)/1000</f>
        <v>72.475261779999997</v>
      </c>
      <c r="E12" s="101">
        <f t="shared" si="2"/>
        <v>0.39253010345006173</v>
      </c>
      <c r="F12" s="102">
        <f>IFERROR(VLOOKUP(B12,'[2]CBC- IRS'!A:N,14,0),"")</f>
        <v>0.20010043080917686</v>
      </c>
      <c r="G12" s="103">
        <f t="shared" si="15"/>
        <v>0.20010043080917686</v>
      </c>
      <c r="H12" s="104">
        <f>+VLOOKUP($B12,[2]OECDimp!$A$2:$M$44,8,0)/1000</f>
        <v>644.50331249999999</v>
      </c>
      <c r="I12" s="104">
        <f t="shared" si="3"/>
        <v>561.82156761436443</v>
      </c>
      <c r="J12" s="88">
        <f>IFERROR(VLOOKUP(B12,'[2]Eurostat personel cost'!$A$14:$D$43,4,0)*H12,'Table U1'!O12/VLOOKUP('Table U1'!B12,'[2]Table II.F 1'!A:I,9,0))</f>
        <v>82.681744885635595</v>
      </c>
      <c r="K12" s="247">
        <f t="shared" si="0"/>
        <v>184.63618750000001</v>
      </c>
      <c r="L12" s="105">
        <f>+VLOOKUP($B12,[2]OECDimp!$A$2:$M$44,2,0)/1000</f>
        <v>184.63618750000001</v>
      </c>
      <c r="M12" s="87">
        <f t="shared" si="4"/>
        <v>0</v>
      </c>
      <c r="N12" s="90">
        <f t="shared" si="16"/>
        <v>48.358915493767448</v>
      </c>
      <c r="O12" s="88">
        <f t="shared" si="5"/>
        <v>48.358915493767448</v>
      </c>
      <c r="P12" s="106">
        <f>+VLOOKUP(A12,[2]ROU_E_2018!A:B,2,0)/1000</f>
        <v>38.682275670000003</v>
      </c>
      <c r="Q12" s="88">
        <f>+IFERROR(VLOOKUP(B12,'[2]SPE FDI income'!A:H,7,0)-VLOOKUP(B12,'[2]SPE FDI income'!A:H,8,0),0)/1000</f>
        <v>0</v>
      </c>
      <c r="R12" s="88">
        <f>+(+TableB10!K13+TableB10!N13)/1000</f>
        <v>0</v>
      </c>
      <c r="S12" s="88">
        <f t="shared" si="6"/>
        <v>9.6766398237674434</v>
      </c>
      <c r="T12" s="88">
        <f>+IFERROR(VLOOKUP('Table U1'!A12,'[2]fdiinterest_net (2)'!A:D,3,0),0)/1000000000</f>
        <v>6.05816</v>
      </c>
      <c r="U12" s="107"/>
      <c r="V12" s="89">
        <f t="shared" si="7"/>
        <v>136.27727200623255</v>
      </c>
      <c r="W12" s="86">
        <f t="shared" si="8"/>
        <v>136.27727200623255</v>
      </c>
      <c r="X12" s="500">
        <f t="shared" si="9"/>
        <v>0.39253010345006173</v>
      </c>
      <c r="Y12" s="108">
        <f t="shared" si="10"/>
        <v>0.28647825995463755</v>
      </c>
      <c r="Z12" s="109">
        <f t="shared" si="11"/>
        <v>0.28647825995463755</v>
      </c>
      <c r="AA12" s="109">
        <f t="shared" si="12"/>
        <v>0.24256326182866225</v>
      </c>
      <c r="AB12" s="102">
        <f t="shared" si="13"/>
        <v>0.5848802001053186</v>
      </c>
      <c r="AC12" s="110">
        <f>+IFERROR(VLOOKUP(B12,'[2]Table II.F 1'!A:I,9,0),"")</f>
        <v>0.5848802001053186</v>
      </c>
      <c r="AD12" s="111">
        <f t="shared" si="14"/>
        <v>28.303361760622366</v>
      </c>
      <c r="AF12" s="37">
        <f>+N12-'[2]Table U2'!H13</f>
        <v>0.96910253882946051</v>
      </c>
      <c r="AL12" s="37"/>
    </row>
    <row r="13" spans="1:39" x14ac:dyDescent="0.35">
      <c r="A13" s="1" t="str">
        <f>+VLOOKUP(B13,[7]Sheet1!$A$1:$C$65536,3,0)</f>
        <v>CHL</v>
      </c>
      <c r="B13" s="99" t="s">
        <v>36</v>
      </c>
      <c r="C13" s="83">
        <f>+[2]GDPgrowth!H8</f>
        <v>278.58473309999999</v>
      </c>
      <c r="D13" s="84">
        <f>+VLOOKUP($B13,[2]OECDimp!$A$2:$M$44,3,0)/1000</f>
        <v>13.65415711</v>
      </c>
      <c r="E13" s="101">
        <f t="shared" si="2"/>
        <v>0.20296300687881239</v>
      </c>
      <c r="F13" s="102">
        <f>IFERROR(VLOOKUP(B13,'[2]CBC- IRS'!A:N,14,0),"")</f>
        <v>0.25148914793989108</v>
      </c>
      <c r="G13" s="103">
        <f t="shared" si="15"/>
        <v>0.20296300687881239</v>
      </c>
      <c r="H13" s="104">
        <f>+VLOOKUP($B13,[2]OECDimp!$A$2:$M$44,8,0)/1000</f>
        <v>79.311148440000011</v>
      </c>
      <c r="I13" s="104">
        <f t="shared" si="3"/>
        <v>64.362871255565011</v>
      </c>
      <c r="J13" s="88">
        <f>IFERROR(VLOOKUP(B13,'[2]Eurostat personel cost'!$A$14:$D$43,4,0)*H13,'Table U1'!O13/VLOOKUP('Table U1'!B13,'[2]Table II.F 1'!A:I,9,0))</f>
        <v>14.948277184434994</v>
      </c>
      <c r="K13" s="247">
        <f t="shared" si="0"/>
        <v>67.274117189999998</v>
      </c>
      <c r="L13" s="105">
        <f>+VLOOKUP($B13,[2]OECDimp!$A$2:$M$44,2,0)/1000</f>
        <v>67.274117189999998</v>
      </c>
      <c r="M13" s="87">
        <f t="shared" si="4"/>
        <v>0</v>
      </c>
      <c r="N13" s="90">
        <f t="shared" si="16"/>
        <v>17.27726545765163</v>
      </c>
      <c r="O13" s="88">
        <f t="shared" si="5"/>
        <v>17.313882127302684</v>
      </c>
      <c r="P13" s="106">
        <f>+VLOOKUP(A13,[2]ROU_E_2018!A:B,2,0)/1000</f>
        <v>13.799804550000001</v>
      </c>
      <c r="Q13" s="88">
        <f>+IFERROR(VLOOKUP(B13,'[2]SPE FDI income'!A:H,7,0)-VLOOKUP(B13,'[2]SPE FDI income'!A:H,8,0),0)/1000</f>
        <v>-3.6616669651053903E-2</v>
      </c>
      <c r="R13" s="88">
        <f>+(+TableB10!K14+TableB10!N14)/1000</f>
        <v>0</v>
      </c>
      <c r="S13" s="88">
        <f t="shared" si="6"/>
        <v>3.5140775773026816</v>
      </c>
      <c r="T13" s="88">
        <f>+IFERROR(VLOOKUP('Table U1'!A13,'[2]fdiinterest_net (2)'!A:D,3,0),0)/1000000000</f>
        <v>0</v>
      </c>
      <c r="U13" s="107"/>
      <c r="V13" s="89">
        <f t="shared" si="7"/>
        <v>49.996851732348368</v>
      </c>
      <c r="W13" s="86">
        <f t="shared" si="8"/>
        <v>49.996851732348368</v>
      </c>
      <c r="X13" s="500">
        <f t="shared" si="9"/>
        <v>0.20296300687881239</v>
      </c>
      <c r="Y13" s="108">
        <f t="shared" si="10"/>
        <v>0.84823027422044972</v>
      </c>
      <c r="Z13" s="109">
        <f t="shared" si="11"/>
        <v>0.84823027422044972</v>
      </c>
      <c r="AA13" s="109">
        <f t="shared" si="12"/>
        <v>0.77679647842039812</v>
      </c>
      <c r="AB13" s="102">
        <f t="shared" si="13"/>
        <v>1.1558031232951522</v>
      </c>
      <c r="AC13" s="110">
        <f>+IFERROR(VLOOKUP(B13,'[2]Table II.F 1'!A:I,9,0),"")</f>
        <v>1.1582526811404656</v>
      </c>
      <c r="AD13" s="111">
        <f t="shared" si="14"/>
        <v>5.6654963823305433</v>
      </c>
      <c r="AF13" s="37">
        <f>+N13-'[2]Table U2'!H14</f>
        <v>7.9454514505131471</v>
      </c>
      <c r="AL13" s="37"/>
    </row>
    <row r="14" spans="1:39" x14ac:dyDescent="0.35">
      <c r="A14" s="1" t="str">
        <f>+VLOOKUP(B14,[7]Sheet1!$A$1:$C$65536,3,0)</f>
        <v>CZE</v>
      </c>
      <c r="B14" s="99" t="s">
        <v>37</v>
      </c>
      <c r="C14" s="83">
        <f>+[2]GDPgrowth!H9</f>
        <v>252.49803224999999</v>
      </c>
      <c r="D14" s="84">
        <f>+VLOOKUP($B14,[2]OECDimp!$A$2:$M$44,3,0)/1000</f>
        <v>8.8572358100000006</v>
      </c>
      <c r="E14" s="101">
        <f t="shared" si="2"/>
        <v>0.24648844343750023</v>
      </c>
      <c r="F14" s="102">
        <f>IFERROR(VLOOKUP(B14,'[2]CBC- IRS'!A:N,14,0),"")</f>
        <v>0.21813962671966031</v>
      </c>
      <c r="G14" s="103">
        <f t="shared" si="15"/>
        <v>0.21813962671966031</v>
      </c>
      <c r="H14" s="104">
        <f>+VLOOKUP($B14,[2]OECDimp!$A$2:$M$44,8,0)/1000</f>
        <v>82.473500000000001</v>
      </c>
      <c r="I14" s="104">
        <f t="shared" si="3"/>
        <v>12.3644924430386</v>
      </c>
      <c r="J14" s="88">
        <f>IFERROR(VLOOKUP(B14,'[2]Eurostat personel cost'!$A$14:$D$43,4,0)*H14,'Table U1'!O14/VLOOKUP('Table U1'!B14,'[2]Table II.F 1'!A:I,9,0))</f>
        <v>70.109007556961402</v>
      </c>
      <c r="K14" s="247">
        <f t="shared" si="0"/>
        <v>35.933675779999994</v>
      </c>
      <c r="L14" s="105">
        <f>+VLOOKUP($B14,[2]OECDimp!$A$2:$M$44,2,0)/1000</f>
        <v>35.933675779999994</v>
      </c>
      <c r="M14" s="87">
        <f t="shared" si="4"/>
        <v>0</v>
      </c>
      <c r="N14" s="90">
        <f t="shared" si="16"/>
        <v>25.02739790725246</v>
      </c>
      <c r="O14" s="88">
        <f t="shared" si="5"/>
        <v>25.02739790725246</v>
      </c>
      <c r="P14" s="106">
        <f>+VLOOKUP(A14,[2]ROU_E_2018!A:B,2,0)/1000</f>
        <v>19.567930670000003</v>
      </c>
      <c r="Q14" s="88">
        <f>+IFERROR(VLOOKUP(B14,'[2]SPE FDI income'!A:H,7,0)-VLOOKUP(B14,'[2]SPE FDI income'!A:H,8,0),0)/1000</f>
        <v>0</v>
      </c>
      <c r="R14" s="88">
        <f>+(+TableB10!K15+TableB10!N15)/1000</f>
        <v>0</v>
      </c>
      <c r="S14" s="88">
        <f t="shared" si="6"/>
        <v>5.4594672372524586</v>
      </c>
      <c r="T14" s="88">
        <f>+IFERROR(VLOOKUP('Table U1'!A14,'[2]fdiinterest_net (2)'!A:D,3,0),0)/1000000000</f>
        <v>0.34060699999999999</v>
      </c>
      <c r="U14" s="107"/>
      <c r="V14" s="89">
        <f t="shared" si="7"/>
        <v>10.906277872747534</v>
      </c>
      <c r="W14" s="86">
        <f t="shared" si="8"/>
        <v>10.906277872747534</v>
      </c>
      <c r="X14" s="500">
        <f t="shared" si="9"/>
        <v>0.24648844343750023</v>
      </c>
      <c r="Y14" s="108">
        <f t="shared" si="10"/>
        <v>0.43569965843573988</v>
      </c>
      <c r="Z14" s="109">
        <f t="shared" si="11"/>
        <v>0.43569965843573988</v>
      </c>
      <c r="AA14" s="109">
        <f t="shared" si="12"/>
        <v>0.88206434052923355</v>
      </c>
      <c r="AB14" s="102">
        <f t="shared" si="13"/>
        <v>0.3569783509903271</v>
      </c>
      <c r="AC14" s="110">
        <f>+IFERROR(VLOOKUP(B14,'[2]Table II.F 1'!A:I,9,0),"")</f>
        <v>0.35697835099032704</v>
      </c>
      <c r="AD14" s="111">
        <f t="shared" si="14"/>
        <v>-36.813257608637741</v>
      </c>
      <c r="AF14" s="37">
        <f>+N14-'[2]Table U2'!H15</f>
        <v>7.2873758966906159</v>
      </c>
      <c r="AL14" s="37"/>
    </row>
    <row r="15" spans="1:39" x14ac:dyDescent="0.35">
      <c r="A15" s="1" t="str">
        <f>+VLOOKUP(B15,[7]Sheet1!$A$1:$C$65536,3,0)</f>
        <v>DNK</v>
      </c>
      <c r="B15" s="99" t="s">
        <v>38</v>
      </c>
      <c r="C15" s="83">
        <f>+[2]GDPgrowth!H10</f>
        <v>347.56134921</v>
      </c>
      <c r="D15" s="84">
        <f>+VLOOKUP($B15,[2]OECDimp!$A$2:$M$44,3,0)/1000</f>
        <v>10.90409745</v>
      </c>
      <c r="E15" s="101">
        <f t="shared" si="2"/>
        <v>0.21296732246147501</v>
      </c>
      <c r="F15" s="102">
        <f>IFERROR(VLOOKUP(B15,'[2]CBC- IRS'!A:N,14,0),"")</f>
        <v>-4.9859684544977544E-2</v>
      </c>
      <c r="G15" s="103">
        <f t="shared" si="15"/>
        <v>0.21296732246147501</v>
      </c>
      <c r="H15" s="104">
        <f>+VLOOKUP($B15,[2]OECDimp!$A$2:$M$44,8,0)/1000</f>
        <v>117.39009375000001</v>
      </c>
      <c r="I15" s="104">
        <f t="shared" si="3"/>
        <v>87.00779238110286</v>
      </c>
      <c r="J15" s="88">
        <f>IFERROR(VLOOKUP(B15,'[2]Eurostat personel cost'!$A$14:$D$43,4,0)*H15,'Table U1'!O15/VLOOKUP('Table U1'!B15,'[2]Table II.F 1'!A:I,9,0))</f>
        <v>30.382301368897139</v>
      </c>
      <c r="K15" s="247">
        <f t="shared" si="0"/>
        <v>51.200800779999994</v>
      </c>
      <c r="L15" s="105">
        <f>+VLOOKUP($B15,[2]OECDimp!$A$2:$M$44,2,0)/1000</f>
        <v>51.200800779999994</v>
      </c>
      <c r="M15" s="87">
        <f t="shared" si="4"/>
        <v>0</v>
      </c>
      <c r="N15" s="90">
        <f t="shared" si="16"/>
        <v>9.1786031220532855</v>
      </c>
      <c r="O15" s="88">
        <f t="shared" si="5"/>
        <v>9.2013944613443535</v>
      </c>
      <c r="P15" s="106">
        <f>+VLOOKUP(A15,[2]ROU_E_2018!A:B,2,0)/1000</f>
        <v>7.2417981200000003</v>
      </c>
      <c r="Q15" s="88">
        <f>+IFERROR(VLOOKUP(B15,'[2]SPE FDI income'!A:H,7,0)-VLOOKUP(B15,'[2]SPE FDI income'!A:H,8,0),0)/1000</f>
        <v>-2.2791339291069E-2</v>
      </c>
      <c r="R15" s="88">
        <f>+(+TableB10!K16+TableB10!N16)/1000</f>
        <v>0</v>
      </c>
      <c r="S15" s="88">
        <f t="shared" si="6"/>
        <v>1.9595963413443531</v>
      </c>
      <c r="T15" s="88">
        <f>+IFERROR(VLOOKUP('Table U1'!A15,'[2]fdiinterest_net (2)'!A:D,3,0),0)/1000000000</f>
        <v>1.11761</v>
      </c>
      <c r="U15" s="107"/>
      <c r="V15" s="89">
        <f t="shared" si="7"/>
        <v>42.022197657946705</v>
      </c>
      <c r="W15" s="86">
        <f t="shared" si="8"/>
        <v>42.022197657946705</v>
      </c>
      <c r="X15" s="500">
        <f t="shared" si="9"/>
        <v>0.21296732246147501</v>
      </c>
      <c r="Y15" s="108">
        <f t="shared" si="10"/>
        <v>0.43615946750191598</v>
      </c>
      <c r="Z15" s="109">
        <f t="shared" si="11"/>
        <v>0.43615946750191598</v>
      </c>
      <c r="AA15" s="109">
        <f t="shared" si="12"/>
        <v>0.48297050767459154</v>
      </c>
      <c r="AB15" s="102">
        <f t="shared" si="13"/>
        <v>0.30210361653016754</v>
      </c>
      <c r="AC15" s="110">
        <f>+IFERROR(VLOOKUP(B15,'[2]Table II.F 1'!A:I,9,0),"")</f>
        <v>0.18656892882478127</v>
      </c>
      <c r="AD15" s="111">
        <f t="shared" si="14"/>
        <v>-5.4951523944054035</v>
      </c>
      <c r="AF15" s="37">
        <f>+N15-'[2]Table U2'!H16</f>
        <v>4.202200843148999</v>
      </c>
      <c r="AL15" s="37"/>
    </row>
    <row r="16" spans="1:39" x14ac:dyDescent="0.35">
      <c r="A16" s="1" t="str">
        <f>+VLOOKUP(B16,[7]Sheet1!$A$1:$C$65536,3,0)</f>
        <v>EST</v>
      </c>
      <c r="B16" s="99" t="s">
        <v>39</v>
      </c>
      <c r="C16" s="83">
        <f>+[2]GDPgrowth!H11</f>
        <v>31.04559175</v>
      </c>
      <c r="D16" s="84">
        <f>+VLOOKUP($B16,[2]OECDimp!$A$2:$M$44,3,0)/1000</f>
        <v>0.56992463999999998</v>
      </c>
      <c r="E16" s="101">
        <f t="shared" si="2"/>
        <v>9.8689567774918399E-2</v>
      </c>
      <c r="F16" s="102">
        <f>IFERROR(VLOOKUP(B16,'[2]CBC- IRS'!A:N,14,0),"")</f>
        <v>7.1001093276989086E-2</v>
      </c>
      <c r="G16" s="103">
        <f t="shared" si="15"/>
        <v>7.1001093276989086E-2</v>
      </c>
      <c r="H16" s="104">
        <f>+VLOOKUP($B16,[2]OECDimp!$A$2:$M$44,8,0)/1000</f>
        <v>11.46219043</v>
      </c>
      <c r="I16" s="104">
        <f t="shared" si="3"/>
        <v>6.7754750153537211</v>
      </c>
      <c r="J16" s="88">
        <f>IFERROR(VLOOKUP(B16,'[2]Eurostat personel cost'!$A$14:$D$43,4,0)*H16,'Table U1'!O16/VLOOKUP('Table U1'!B16,'[2]Table II.F 1'!A:I,9,0))</f>
        <v>4.6867154146462786</v>
      </c>
      <c r="K16" s="51">
        <f t="shared" si="0"/>
        <v>5.7749228500000003</v>
      </c>
      <c r="L16" s="105">
        <f>+VLOOKUP($B16,[2]OECDimp!$A$2:$M$44,2,0)/1000</f>
        <v>5.7749228500000003</v>
      </c>
      <c r="M16" s="87">
        <f t="shared" si="4"/>
        <v>0</v>
      </c>
      <c r="N16" s="90">
        <f t="shared" si="16"/>
        <v>2.0728682951767583</v>
      </c>
      <c r="O16" s="88">
        <f t="shared" si="5"/>
        <v>2.0728682951767583</v>
      </c>
      <c r="P16" s="106">
        <f>+VLOOKUP(A16,[2]ROU_E_2018!A:B,2,0)/1000</f>
        <v>1.9256923799999999</v>
      </c>
      <c r="Q16" s="88">
        <f>+IFERROR(VLOOKUP(B16,'[2]SPE FDI income'!A:H,7,0)-VLOOKUP(B16,'[2]SPE FDI income'!A:H,8,0),0)/1000</f>
        <v>0</v>
      </c>
      <c r="R16" s="88">
        <f>+(+TableB10!K17+TableB10!N17)/1000</f>
        <v>0</v>
      </c>
      <c r="S16" s="88">
        <f t="shared" si="6"/>
        <v>0.14717591517675835</v>
      </c>
      <c r="T16" s="88">
        <f>+IFERROR(VLOOKUP('Table U1'!A16,'[2]fdiinterest_net (2)'!A:D,3,0),0)/1000000000</f>
        <v>0.119602</v>
      </c>
      <c r="U16" s="107"/>
      <c r="V16" s="89">
        <f t="shared" si="7"/>
        <v>3.702054554823242</v>
      </c>
      <c r="W16" s="86">
        <f t="shared" si="8"/>
        <v>3.702054554823242</v>
      </c>
      <c r="X16" s="500">
        <f t="shared" si="9"/>
        <v>9.8689567774918399E-2</v>
      </c>
      <c r="Y16" s="108">
        <f t="shared" si="10"/>
        <v>0.50382367011503226</v>
      </c>
      <c r="Z16" s="109">
        <f t="shared" si="11"/>
        <v>0.50382367011503226</v>
      </c>
      <c r="AA16" s="109">
        <f t="shared" si="12"/>
        <v>0.5463904075262791</v>
      </c>
      <c r="AB16" s="102">
        <f t="shared" si="13"/>
        <v>0.44228593199811433</v>
      </c>
      <c r="AC16" s="110" t="str">
        <f>+IFERROR(VLOOKUP(B16,'[2]Table II.F 1'!A:I,9,0),"")</f>
        <v/>
      </c>
      <c r="AD16" s="111">
        <f t="shared" si="14"/>
        <v>-0.48790805019151606</v>
      </c>
      <c r="AF16" s="37">
        <f>+N16-'[2]Table U2'!H17</f>
        <v>0.59129280064483147</v>
      </c>
      <c r="AL16" s="37"/>
    </row>
    <row r="17" spans="1:38" x14ac:dyDescent="0.35">
      <c r="A17" s="1" t="str">
        <f>+VLOOKUP(B17,[7]Sheet1!$A$1:$C$65536,3,0)</f>
        <v>FIN</v>
      </c>
      <c r="B17" s="99" t="s">
        <v>40</v>
      </c>
      <c r="C17" s="83">
        <f>+[2]GDPgrowth!H12</f>
        <v>268.50820013000003</v>
      </c>
      <c r="D17" s="84">
        <f>+VLOOKUP($B17,[2]OECDimp!$A$2:$M$44,3,0)/1000</f>
        <v>6.7940927600000007</v>
      </c>
      <c r="E17" s="101">
        <f t="shared" si="2"/>
        <v>0.1869743288103751</v>
      </c>
      <c r="F17" s="102">
        <f>IFERROR(VLOOKUP(B17,'[2]CBC- IRS'!A:N,14,0),"")</f>
        <v>0.63305788540051044</v>
      </c>
      <c r="G17" s="103">
        <f t="shared" si="15"/>
        <v>0.1869743288103751</v>
      </c>
      <c r="H17" s="104">
        <f>+VLOOKUP($B17,[2]OECDimp!$A$2:$M$44,8,0)/1000</f>
        <v>85.809984379999989</v>
      </c>
      <c r="I17" s="104">
        <f t="shared" si="3"/>
        <v>66.558557574994353</v>
      </c>
      <c r="J17" s="88">
        <f>IFERROR(VLOOKUP(B17,'[2]Eurostat personel cost'!$A$14:$D$43,4,0)*H17,'Table U1'!O17/VLOOKUP('Table U1'!B17,'[2]Table II.F 1'!A:I,9,0))</f>
        <v>19.251426805005643</v>
      </c>
      <c r="K17" s="247">
        <f t="shared" si="0"/>
        <v>36.337035159999999</v>
      </c>
      <c r="L17" s="105">
        <f>+VLOOKUP($B17,[2]OECDimp!$A$2:$M$44,2,0)/1000</f>
        <v>36.337035159999999</v>
      </c>
      <c r="M17" s="87">
        <f t="shared" si="4"/>
        <v>0</v>
      </c>
      <c r="N17" s="90">
        <f t="shared" si="16"/>
        <v>9.8774542581576465</v>
      </c>
      <c r="O17" s="88">
        <f t="shared" si="5"/>
        <v>9.8640209210928305</v>
      </c>
      <c r="P17" s="106">
        <f>+VLOOKUP(A17,[2]ROU_E_2018!A:B,2,0)/1000</f>
        <v>8.01970223</v>
      </c>
      <c r="Q17" s="88">
        <f>+IFERROR(VLOOKUP(B17,'[2]SPE FDI income'!A:H,7,0)-VLOOKUP(B17,'[2]SPE FDI income'!A:H,8,0),0)/1000</f>
        <v>1.3433337064816E-2</v>
      </c>
      <c r="R17" s="88">
        <f>+(+TableB10!K18+TableB10!N18)/1000</f>
        <v>0</v>
      </c>
      <c r="S17" s="88">
        <f t="shared" si="6"/>
        <v>1.8443186910928298</v>
      </c>
      <c r="T17" s="88">
        <f>+IFERROR(VLOOKUP('Table U1'!A17,'[2]fdiinterest_net (2)'!A:D,3,0),0)/1000000000</f>
        <v>0.741788</v>
      </c>
      <c r="U17" s="107"/>
      <c r="V17" s="89">
        <f t="shared" si="7"/>
        <v>26.459580901842351</v>
      </c>
      <c r="W17" s="86">
        <f t="shared" si="8"/>
        <v>26.459580901842351</v>
      </c>
      <c r="X17" s="500">
        <f t="shared" si="9"/>
        <v>0.1869743288103751</v>
      </c>
      <c r="Y17" s="108">
        <f t="shared" si="10"/>
        <v>0.4234592911599363</v>
      </c>
      <c r="Z17" s="109">
        <f t="shared" si="11"/>
        <v>0.4234592911599363</v>
      </c>
      <c r="AA17" s="109">
        <f t="shared" si="12"/>
        <v>0.39753837621900412</v>
      </c>
      <c r="AB17" s="102">
        <f t="shared" si="13"/>
        <v>0.51307647782186039</v>
      </c>
      <c r="AC17" s="110">
        <f>+IFERROR(VLOOKUP(B17,'[2]Table II.F 1'!A:I,9,0),"")</f>
        <v>0.52245188880969351</v>
      </c>
      <c r="AD17" s="111">
        <f t="shared" si="14"/>
        <v>2.2242733061966926</v>
      </c>
      <c r="AF17" s="37">
        <f>+N17-'[2]Table U2'!H18</f>
        <v>5.7418514192939352</v>
      </c>
      <c r="AL17" s="37"/>
    </row>
    <row r="18" spans="1:38" x14ac:dyDescent="0.35">
      <c r="A18" s="1" t="str">
        <f>+VLOOKUP(B18,[7]Sheet1!$A$1:$C$65536,3,0)</f>
        <v>FRA</v>
      </c>
      <c r="B18" s="99" t="s">
        <v>41</v>
      </c>
      <c r="C18" s="83">
        <f>+[2]GDPgrowth!H13</f>
        <v>2728.8702467100002</v>
      </c>
      <c r="D18" s="84">
        <f>+VLOOKUP($B18,[2]OECDimp!$A$2:$M$44,3,0)/1000</f>
        <v>60.619620359999999</v>
      </c>
      <c r="E18" s="101">
        <f t="shared" si="2"/>
        <v>0.27522401555692833</v>
      </c>
      <c r="F18" s="102">
        <f>IFERROR(VLOOKUP(B18,'[2]CBC- IRS'!A:N,14,0),"")</f>
        <v>0.60768606777301348</v>
      </c>
      <c r="G18" s="103">
        <f t="shared" si="15"/>
        <v>0.27522401555692833</v>
      </c>
      <c r="H18" s="104">
        <f>+VLOOKUP($B18,[2]OECDimp!$A$2:$M$44,8,0)/1000</f>
        <v>974.19275000000005</v>
      </c>
      <c r="I18" s="104">
        <f t="shared" si="3"/>
        <v>804.55793390295491</v>
      </c>
      <c r="J18" s="88">
        <f>IFERROR(VLOOKUP(B18,'[2]Eurostat personel cost'!$A$14:$D$43,4,0)*H18,'Table U1'!O18/VLOOKUP('Table U1'!B18,'[2]Table II.F 1'!A:I,9,0))</f>
        <v>169.6348160970451</v>
      </c>
      <c r="K18" s="51">
        <f t="shared" si="0"/>
        <v>220.2555625</v>
      </c>
      <c r="L18" s="105">
        <f>+VLOOKUP($B18,[2]OECDimp!$A$2:$M$44,2,0)/1000</f>
        <v>220.2555625</v>
      </c>
      <c r="M18" s="87">
        <f t="shared" si="4"/>
        <v>0</v>
      </c>
      <c r="N18" s="90">
        <f t="shared" si="16"/>
        <v>40.884603554807072</v>
      </c>
      <c r="O18" s="88">
        <f t="shared" si="5"/>
        <v>40.884603554807072</v>
      </c>
      <c r="P18" s="106">
        <f>+VLOOKUP(A18,[2]ROU_E_2018!A:B,2,0)/1000</f>
        <v>29.632178790000001</v>
      </c>
      <c r="Q18" s="88">
        <f>+IFERROR(VLOOKUP(B18,'[2]SPE FDI income'!A:H,7,0)-VLOOKUP(B18,'[2]SPE FDI income'!A:H,8,0),0)/1000</f>
        <v>0</v>
      </c>
      <c r="R18" s="88">
        <f>+(+TableB10!K19+TableB10!N19)/1000</f>
        <v>0</v>
      </c>
      <c r="S18" s="88">
        <f t="shared" si="6"/>
        <v>11.252424764807069</v>
      </c>
      <c r="T18" s="88">
        <f>+IFERROR(VLOOKUP('Table U1'!A18,'[2]fdiinterest_net (2)'!A:D,3,0),0)/1000000000</f>
        <v>8.50671</v>
      </c>
      <c r="U18" s="107"/>
      <c r="V18" s="89">
        <f t="shared" si="7"/>
        <v>179.37095894519291</v>
      </c>
      <c r="W18" s="86">
        <f t="shared" si="8"/>
        <v>179.37095894519291</v>
      </c>
      <c r="X18" s="500">
        <f t="shared" si="9"/>
        <v>0.27522401555692833</v>
      </c>
      <c r="Y18" s="108">
        <f t="shared" si="10"/>
        <v>0.22609033222634842</v>
      </c>
      <c r="Z18" s="109">
        <f t="shared" si="11"/>
        <v>0.22609033222634842</v>
      </c>
      <c r="AA18" s="109">
        <f t="shared" si="12"/>
        <v>0.22294349652989498</v>
      </c>
      <c r="AB18" s="102">
        <f t="shared" si="13"/>
        <v>0.24101540294309456</v>
      </c>
      <c r="AC18" s="110">
        <f>+IFERROR(VLOOKUP(B18,'[2]Table II.F 1'!A:I,9,0),"")</f>
        <v>0.24126984126984127</v>
      </c>
      <c r="AD18" s="111">
        <f t="shared" si="14"/>
        <v>3.0656245209261215</v>
      </c>
      <c r="AF18" s="37">
        <f>+N18-'[2]Table U2'!H19</f>
        <v>9.8128671880467273</v>
      </c>
      <c r="AL18" s="37"/>
    </row>
    <row r="19" spans="1:38" x14ac:dyDescent="0.35">
      <c r="A19" s="1" t="str">
        <f>+VLOOKUP(B19,[7]Sheet1!$A$1:$C$65536,3,0)</f>
        <v>DEU</v>
      </c>
      <c r="B19" s="99" t="s">
        <v>42</v>
      </c>
      <c r="C19" s="83">
        <f>+[2]GDPgrowth!H14</f>
        <v>3888.32678863</v>
      </c>
      <c r="D19" s="84">
        <f>+VLOOKUP($B19,[2]OECDimp!$A$2:$M$44,3,0)/1000</f>
        <v>77.73633233000001</v>
      </c>
      <c r="E19" s="101">
        <f t="shared" si="2"/>
        <v>0.14987125461945802</v>
      </c>
      <c r="F19" s="102">
        <f>IFERROR(VLOOKUP(B19,'[2]CBC- IRS'!A:N,14,0),"")</f>
        <v>0.36045679892219429</v>
      </c>
      <c r="G19" s="103">
        <f t="shared" si="15"/>
        <v>0.14987125461945802</v>
      </c>
      <c r="H19" s="104">
        <f>+VLOOKUP($B19,[2]OECDimp!$A$2:$M$44,8,0)/1000</f>
        <v>1509.81</v>
      </c>
      <c r="I19" s="104">
        <f t="shared" si="3"/>
        <v>1253.8049329620103</v>
      </c>
      <c r="J19" s="88">
        <f>IFERROR(VLOOKUP(B19,'[2]Eurostat personel cost'!$A$14:$D$43,4,0)*H19,'Table U1'!O19/VLOOKUP('Table U1'!B19,'[2]Table II.F 1'!A:I,9,0))</f>
        <v>256.0050670379897</v>
      </c>
      <c r="K19" s="247">
        <f t="shared" si="0"/>
        <v>518.68740624999998</v>
      </c>
      <c r="L19" s="105">
        <f>+VLOOKUP($B19,[2]OECDimp!$A$2:$M$44,2,0)/1000</f>
        <v>518.68740624999998</v>
      </c>
      <c r="M19" s="87">
        <f t="shared" si="4"/>
        <v>0</v>
      </c>
      <c r="N19" s="90">
        <f t="shared" si="16"/>
        <v>36.585042135091967</v>
      </c>
      <c r="O19" s="88">
        <f t="shared" si="5"/>
        <v>36.585042135091967</v>
      </c>
      <c r="P19" s="106">
        <f>+VLOOKUP(A19,[2]ROU_E_2018!A:B,2,0)/1000</f>
        <v>31.101995970000001</v>
      </c>
      <c r="Q19" s="88">
        <f>+IFERROR(VLOOKUP(B19,'[2]SPE FDI income'!A:H,7,0)-VLOOKUP(B19,'[2]SPE FDI income'!A:H,8,0),0)/1000</f>
        <v>0</v>
      </c>
      <c r="R19" s="88">
        <f>+(+TableB10!K20+TableB10!N20)/1000</f>
        <v>0</v>
      </c>
      <c r="S19" s="88">
        <f t="shared" si="6"/>
        <v>5.4830461650919693</v>
      </c>
      <c r="T19" s="88">
        <f>+IFERROR(VLOOKUP('Table U1'!A19,'[2]fdiinterest_net (2)'!A:D,3,0),0)/1000000000</f>
        <v>8.2170299999999994</v>
      </c>
      <c r="U19" s="107"/>
      <c r="V19" s="89">
        <f t="shared" si="7"/>
        <v>482.10236411490803</v>
      </c>
      <c r="W19" s="86">
        <f t="shared" si="8"/>
        <v>482.10236411490803</v>
      </c>
      <c r="X19" s="500">
        <f t="shared" si="9"/>
        <v>0.14987125461945802</v>
      </c>
      <c r="Y19" s="108">
        <f t="shared" si="10"/>
        <v>0.34354482103708411</v>
      </c>
      <c r="Z19" s="109">
        <f t="shared" si="11"/>
        <v>0.34354482103708411</v>
      </c>
      <c r="AA19" s="109">
        <f t="shared" si="12"/>
        <v>0.3845114590321328</v>
      </c>
      <c r="AB19" s="102">
        <f t="shared" si="13"/>
        <v>0.14290749225546756</v>
      </c>
      <c r="AC19" s="110">
        <f>+IFERROR(VLOOKUP(B19,'[2]Table II.F 1'!A:I,9,0),"")</f>
        <v>0.14290749225546756</v>
      </c>
      <c r="AD19" s="111">
        <f t="shared" si="14"/>
        <v>-61.851839711304422</v>
      </c>
      <c r="AF19" s="37">
        <f>+N19-'[2]Table U2'!H20</f>
        <v>-5.2925852982350463</v>
      </c>
      <c r="AL19" s="37"/>
    </row>
    <row r="20" spans="1:38" x14ac:dyDescent="0.35">
      <c r="A20" s="1" t="str">
        <f>+VLOOKUP(B20,[7]Sheet1!$A$1:$C$65536,3,0)</f>
        <v>GRC</v>
      </c>
      <c r="B20" s="99" t="s">
        <v>43</v>
      </c>
      <c r="C20" s="83">
        <f>+[2]GDPgrowth!H15</f>
        <v>205.14415283</v>
      </c>
      <c r="D20" s="84">
        <f>+VLOOKUP($A20,[2]globaltaxrev!A:B,2,0)</f>
        <v>4.5573899999999998</v>
      </c>
      <c r="E20" s="101">
        <f t="shared" si="2"/>
        <v>0.24175013648536933</v>
      </c>
      <c r="F20" s="102">
        <f>IFERROR(VLOOKUP(B20,'[2]CBC- IRS'!A:N,14,0),"")</f>
        <v>0.27257906422497719</v>
      </c>
      <c r="G20" s="103">
        <f t="shared" si="15"/>
        <v>0.24175013648536933</v>
      </c>
      <c r="H20" s="104">
        <f>+VLOOKUP($B20,[2]OECDimp!$A$2:$M$44,8,0)/1000</f>
        <v>38.145160159999996</v>
      </c>
      <c r="I20" s="104">
        <f t="shared" si="3"/>
        <v>30.912973405169851</v>
      </c>
      <c r="J20" s="88">
        <f>IFERROR(VLOOKUP(B20,'[2]Eurostat personel cost'!$A$14:$D$43,4,0)*H20,'Table U1'!O20/VLOOKUP('Table U1'!B20,'[2]Table II.F 1'!A:I,9,0))</f>
        <v>7.2321867548301464</v>
      </c>
      <c r="K20" s="247">
        <f t="shared" si="0"/>
        <v>18.8516543</v>
      </c>
      <c r="L20" s="105">
        <f>+VLOOKUP($B20,[2]OECDimp!$A$2:$M$44,2,0)/1000</f>
        <v>18.8516543</v>
      </c>
      <c r="M20" s="87">
        <f t="shared" si="4"/>
        <v>0</v>
      </c>
      <c r="N20" s="90">
        <f t="shared" si="16"/>
        <v>2.3950953074783614</v>
      </c>
      <c r="O20" s="88">
        <f t="shared" si="5"/>
        <v>2.3950953074783614</v>
      </c>
      <c r="P20" s="106">
        <f>+VLOOKUP(A20,[2]ROU_E_2018!A:B,2,0)/1000</f>
        <v>1.8160806899999999</v>
      </c>
      <c r="Q20" s="88">
        <f>+IFERROR(VLOOKUP(B20,'[2]SPE FDI income'!A:H,7,0)-VLOOKUP(B20,'[2]SPE FDI income'!A:H,8,0),0)/1000</f>
        <v>0</v>
      </c>
      <c r="R20" s="88">
        <f>+(+TableB10!K21+TableB10!N21)/1000</f>
        <v>0</v>
      </c>
      <c r="S20" s="88">
        <f t="shared" si="6"/>
        <v>0.57901461747836147</v>
      </c>
      <c r="T20" s="88">
        <f>+IFERROR(VLOOKUP('Table U1'!A20,'[2]fdiinterest_net (2)'!A:D,3,0),0)/1000000000</f>
        <v>6.0809858040699995E-3</v>
      </c>
      <c r="U20" s="107"/>
      <c r="V20" s="89">
        <f t="shared" si="7"/>
        <v>16.456558992521639</v>
      </c>
      <c r="W20" s="86">
        <f t="shared" si="8"/>
        <v>16.456558992521639</v>
      </c>
      <c r="X20" s="500">
        <f t="shared" si="9"/>
        <v>0.24175013648536933</v>
      </c>
      <c r="Y20" s="108">
        <f t="shared" si="10"/>
        <v>0.4942082880482524</v>
      </c>
      <c r="Z20" s="109">
        <f t="shared" si="11"/>
        <v>0.4942082880482524</v>
      </c>
      <c r="AA20" s="109">
        <f t="shared" si="12"/>
        <v>0.5323512163268469</v>
      </c>
      <c r="AB20" s="102">
        <f t="shared" si="13"/>
        <v>0.33117166199818526</v>
      </c>
      <c r="AC20" s="110">
        <f>+IFERROR(VLOOKUP(B20,'[2]Table II.F 1'!A:I,9,0),"")</f>
        <v>0.23499361430395913</v>
      </c>
      <c r="AD20" s="111">
        <f t="shared" si="14"/>
        <v>-1.4549681081583785</v>
      </c>
      <c r="AF20" s="37">
        <f>+N20-'[2]Table U2'!H21</f>
        <v>1.0958303290245763</v>
      </c>
      <c r="AL20" s="37"/>
    </row>
    <row r="21" spans="1:38" x14ac:dyDescent="0.35">
      <c r="A21" s="1" t="str">
        <f>+VLOOKUP(B21,[7]Sheet1!$A$1:$C$65536,3,0)</f>
        <v>HUN</v>
      </c>
      <c r="B21" s="99" t="s">
        <v>44</v>
      </c>
      <c r="C21" s="83">
        <f>+[2]GDPgrowth!H16</f>
        <v>163.52649142999999</v>
      </c>
      <c r="D21" s="84">
        <f>+VLOOKUP($B21,[2]OECDimp!$A$2:$M$44,3,0)/1000</f>
        <v>2.1118351299999998</v>
      </c>
      <c r="E21" s="101">
        <f t="shared" si="2"/>
        <v>8.0402979257212875E-2</v>
      </c>
      <c r="F21" s="102">
        <f>IFERROR(VLOOKUP(B21,'[2]CBC- IRS'!A:N,14,0),"")</f>
        <v>5.4989846132481396E-2</v>
      </c>
      <c r="G21" s="103">
        <f t="shared" si="15"/>
        <v>5.4989846132481396E-2</v>
      </c>
      <c r="H21" s="104">
        <f>+VLOOKUP($B21,[2]OECDimp!$A$2:$M$44,8,0)/1000</f>
        <v>46.861992189999995</v>
      </c>
      <c r="I21" s="104">
        <f t="shared" si="3"/>
        <v>25.708594563632865</v>
      </c>
      <c r="J21" s="88">
        <f>IFERROR(VLOOKUP(B21,'[2]Eurostat personel cost'!$A$14:$D$43,4,0)*H21,'Table U1'!O21/VLOOKUP('Table U1'!B21,'[2]Table II.F 1'!A:I,9,0))</f>
        <v>21.153397626367131</v>
      </c>
      <c r="K21" s="247">
        <f t="shared" si="0"/>
        <v>26.26563281</v>
      </c>
      <c r="L21" s="105">
        <f>+VLOOKUP($B21,[2]OECDimp!$A$2:$M$44,2,0)/1000</f>
        <v>26.26563281</v>
      </c>
      <c r="M21" s="87">
        <f t="shared" si="4"/>
        <v>0</v>
      </c>
      <c r="N21" s="90">
        <f t="shared" si="16"/>
        <v>8.6326834598616031</v>
      </c>
      <c r="O21" s="88">
        <f t="shared" si="5"/>
        <v>9.7625505739204534</v>
      </c>
      <c r="P21" s="106">
        <f>+VLOOKUP(A21,[2]ROU_E_2018!A:B,2,0)/1000</f>
        <v>9.2257094199999994</v>
      </c>
      <c r="Q21" s="88">
        <f>+IFERROR(VLOOKUP(B21,'[2]SPE FDI income'!A:H,7,0)-VLOOKUP(B21,'[2]SPE FDI income'!A:H,8,0),0)/1000</f>
        <v>-1.1298671140588501</v>
      </c>
      <c r="R21" s="88">
        <f>+(+TableB10!K22+TableB10!N22)/1000</f>
        <v>0</v>
      </c>
      <c r="S21" s="88">
        <f t="shared" si="6"/>
        <v>0.53684115392045362</v>
      </c>
      <c r="T21" s="88">
        <f>+IFERROR(VLOOKUP('Table U1'!A21,'[2]fdiinterest_net (2)'!A:D,3,0),0)/1000000000</f>
        <v>2.4420600000000001</v>
      </c>
      <c r="U21" s="107"/>
      <c r="V21" s="89">
        <f t="shared" si="7"/>
        <v>17.632949350138396</v>
      </c>
      <c r="W21" s="86">
        <f t="shared" si="8"/>
        <v>17.632949350138396</v>
      </c>
      <c r="X21" s="500">
        <f t="shared" si="9"/>
        <v>8.0402979257212875E-2</v>
      </c>
      <c r="Y21" s="108">
        <f t="shared" si="10"/>
        <v>0.56048903562415964</v>
      </c>
      <c r="Z21" s="109">
        <f t="shared" si="11"/>
        <v>0.56048903562415964</v>
      </c>
      <c r="AA21" s="109">
        <f t="shared" si="12"/>
        <v>0.68587760822529753</v>
      </c>
      <c r="AB21" s="102">
        <f t="shared" si="13"/>
        <v>0.40809914380379253</v>
      </c>
      <c r="AC21" s="110">
        <f>+IFERROR(VLOOKUP(B21,'[2]Table II.F 1'!A:I,9,0),"")</f>
        <v>0.80526918671248571</v>
      </c>
      <c r="AD21" s="111">
        <f t="shared" si="14"/>
        <v>-5.8759583099497705</v>
      </c>
      <c r="AF21" s="37">
        <f>+N21-'[2]Table U2'!H22</f>
        <v>-1.2616642735410029</v>
      </c>
      <c r="AL21" s="37"/>
    </row>
    <row r="22" spans="1:38" x14ac:dyDescent="0.35">
      <c r="A22" s="1" t="str">
        <f>+VLOOKUP(B22,[7]Sheet1!$A$1:$C$65536,3,0)</f>
        <v>ISL</v>
      </c>
      <c r="B22" s="99" t="s">
        <v>45</v>
      </c>
      <c r="C22" s="83">
        <f>+[2]GDPgrowth!H17</f>
        <v>24.857740450000001</v>
      </c>
      <c r="D22" s="84">
        <f>+VLOOKUP($A22,[2]globaltaxrev!A:B,2,0)</f>
        <v>0.51439999999999997</v>
      </c>
      <c r="E22" s="101">
        <f t="shared" si="2"/>
        <v>0.25293758556925983</v>
      </c>
      <c r="F22" s="102">
        <f>IFERROR(VLOOKUP(B22,'[2]CBC- IRS'!A:N,14,0),"")</f>
        <v>1.7006609852328592E-3</v>
      </c>
      <c r="G22" s="103">
        <f t="shared" si="15"/>
        <v>1.7006609852328592E-3</v>
      </c>
      <c r="H22" s="104">
        <f>+'[2]Table U2'!D23</f>
        <v>4.8524572246475834</v>
      </c>
      <c r="I22" s="104">
        <f t="shared" si="3"/>
        <v>3.5128994572012493</v>
      </c>
      <c r="J22" s="88">
        <f>+'[2]Table U2'!I23</f>
        <v>1.3395577674463344</v>
      </c>
      <c r="K22" s="247">
        <f t="shared" si="0"/>
        <v>2.0337032902496257</v>
      </c>
      <c r="L22" s="105">
        <f>+'[2]Table U2'!F23</f>
        <v>2.0337032902496257</v>
      </c>
      <c r="M22" s="87">
        <f t="shared" si="4"/>
        <v>0</v>
      </c>
      <c r="N22" s="90">
        <f t="shared" si="16"/>
        <v>-0.45629427131584077</v>
      </c>
      <c r="O22" s="88">
        <f t="shared" si="5"/>
        <v>-0.45709338087946988</v>
      </c>
      <c r="P22" s="106">
        <f>+VLOOKUP(A22,[2]ROU_E_2018!A:B,2,0)/1000</f>
        <v>-0.45631601999999999</v>
      </c>
      <c r="Q22" s="88">
        <f>+IFERROR(VLOOKUP(B22,'[2]SPE FDI income'!A:H,7,0)-VLOOKUP(B22,'[2]SPE FDI income'!A:H,8,0),0)/1000</f>
        <v>7.9910956362909998E-4</v>
      </c>
      <c r="R22" s="88">
        <f>+(+TableB10!K23+TableB10!N23)/1000</f>
        <v>0</v>
      </c>
      <c r="S22" s="88">
        <f t="shared" si="6"/>
        <v>-7.7736087946989778E-4</v>
      </c>
      <c r="T22" s="88">
        <f>+IFERROR(VLOOKUP('Table U1'!A22,'[2]fdiinterest_net (2)'!A:D,3,0),0)/1000000000</f>
        <v>7.1629764537599991E-2</v>
      </c>
      <c r="U22" s="107"/>
      <c r="V22" s="89">
        <f t="shared" si="7"/>
        <v>2.4899975615654664</v>
      </c>
      <c r="W22" s="86">
        <f t="shared" si="8"/>
        <v>2.4899975615654664</v>
      </c>
      <c r="X22" s="500">
        <f t="shared" si="9"/>
        <v>0.25293758556925983</v>
      </c>
      <c r="Y22" s="108">
        <f t="shared" si="10"/>
        <v>0.41910792740626918</v>
      </c>
      <c r="Z22" s="109">
        <f t="shared" si="11"/>
        <v>0.41910792740626918</v>
      </c>
      <c r="AA22" s="109">
        <f t="shared" si="12"/>
        <v>0.70881549327041204</v>
      </c>
      <c r="AB22" s="102">
        <f t="shared" si="13"/>
        <v>-0.34063052927213228</v>
      </c>
      <c r="AC22" s="110" t="str">
        <f>+IFERROR(VLOOKUP(B22,'[2]Table II.F 1'!A:I,9,0),"")</f>
        <v/>
      </c>
      <c r="AD22" s="111">
        <f t="shared" si="14"/>
        <v>-1.4057935710125262</v>
      </c>
      <c r="AF22" s="37">
        <f>+N22-'[2]Table U2'!H23</f>
        <v>-0.36526785669661666</v>
      </c>
      <c r="AL22" s="37"/>
    </row>
    <row r="23" spans="1:38" x14ac:dyDescent="0.35">
      <c r="A23" s="1" t="str">
        <f>+VLOOKUP(B23,[7]Sheet1!$A$1:$C$65536,3,0)</f>
        <v>IRL</v>
      </c>
      <c r="B23" s="99" t="s">
        <v>46</v>
      </c>
      <c r="C23" s="83">
        <f>+[2]GDPgrowth!H18</f>
        <v>399.12206349999997</v>
      </c>
      <c r="D23" s="84">
        <f>+VLOOKUP($B23,[2]OECDimp!$A$2:$M$44,3,0)/1000</f>
        <v>12.195450230000001</v>
      </c>
      <c r="E23" s="101">
        <f t="shared" si="2"/>
        <v>7.0646940783959472E-2</v>
      </c>
      <c r="F23" s="102">
        <f>IFERROR(VLOOKUP(B23,'[2]CBC- IRS'!A:N,14,0),"")</f>
        <v>0.17563450007939069</v>
      </c>
      <c r="G23" s="103">
        <f t="shared" si="15"/>
        <v>7.0646940783959472E-2</v>
      </c>
      <c r="H23" s="104">
        <f>+VLOOKUP($B23,[2]OECDimp!$A$2:$M$44,8,0)/1000</f>
        <v>80.879273440000006</v>
      </c>
      <c r="I23" s="104">
        <f t="shared" si="3"/>
        <v>50.937745140488175</v>
      </c>
      <c r="J23" s="88">
        <f>IFERROR(VLOOKUP(B23,'[2]Eurostat personel cost'!$A$14:$D$43,4,0)*H23,'Table U1'!O23/VLOOKUP('Table U1'!B23,'[2]Table II.F 1'!A:I,9,0))</f>
        <v>29.941528299511827</v>
      </c>
      <c r="K23" s="247">
        <f t="shared" si="0"/>
        <v>220.78740154891972</v>
      </c>
      <c r="L23" s="105">
        <f>+VLOOKUP($B23,[2]OECDimp!$A$2:$M$44,2,0)/1000</f>
        <v>172.62531250000001</v>
      </c>
      <c r="M23" s="87">
        <f t="shared" si="4"/>
        <v>48.162089048919704</v>
      </c>
      <c r="N23" s="90">
        <f t="shared" si="16"/>
        <v>145.83820068138434</v>
      </c>
      <c r="O23" s="88">
        <f t="shared" si="5"/>
        <v>97.676111632464639</v>
      </c>
      <c r="P23" s="106">
        <f>+VLOOKUP(A23,[2]ROU_E_2018!A:B,2,0)/1000</f>
        <v>90.327997310000001</v>
      </c>
      <c r="Q23" s="88">
        <f>+IFERROR(VLOOKUP(B23,'[2]SPE FDI income'!A:H,7,0)-VLOOKUP(B23,'[2]SPE FDI income'!A:H,8,0),0)/1000</f>
        <v>0</v>
      </c>
      <c r="R23" s="88">
        <f>+(1+G23)*(+TableB10!K24+TableB10!N24)/1000</f>
        <v>48.162089048919704</v>
      </c>
      <c r="S23" s="88">
        <f t="shared" si="6"/>
        <v>7.3481143224646344</v>
      </c>
      <c r="T23" s="88">
        <f>+IFERROR(VLOOKUP('Table U1'!A23,'[2]fdiinterest_net (2)'!A:D,3,0),0)/1000000000</f>
        <v>1.44045</v>
      </c>
      <c r="U23" s="107">
        <f>+[2]OECDimp!N20*75%/1000</f>
        <v>47.387406577499995</v>
      </c>
      <c r="V23" s="89">
        <f t="shared" si="7"/>
        <v>27.561794290035387</v>
      </c>
      <c r="W23" s="86">
        <f t="shared" si="8"/>
        <v>27.561794290035387</v>
      </c>
      <c r="X23" s="546">
        <f t="shared" si="9"/>
        <v>5.523616902252397E-2</v>
      </c>
      <c r="Y23" s="108">
        <f t="shared" si="10"/>
        <v>2.1343578540930079</v>
      </c>
      <c r="Z23" s="109">
        <f t="shared" si="11"/>
        <v>2.7298390818595824</v>
      </c>
      <c r="AA23" s="109">
        <f t="shared" si="12"/>
        <v>0.54108783602452259</v>
      </c>
      <c r="AB23" s="102">
        <f t="shared" si="13"/>
        <v>4.8707667565440245</v>
      </c>
      <c r="AC23" s="110">
        <f>+IFERROR(VLOOKUP(B23,'[2]Table II.F 1'!A:I,9,0),"")</f>
        <v>7.3513445589344055</v>
      </c>
      <c r="AD23" s="111">
        <f t="shared" si="14"/>
        <v>129.63720392653448</v>
      </c>
      <c r="AF23" s="37">
        <f>+N23-'[2]Table U2'!H24</f>
        <v>25.312963088274643</v>
      </c>
      <c r="AK23" s="65"/>
      <c r="AL23" s="37"/>
    </row>
    <row r="24" spans="1:38" x14ac:dyDescent="0.35">
      <c r="A24" s="1" t="str">
        <f>+VLOOKUP(B24,[7]Sheet1!$A$1:$C$65536,3,0)</f>
        <v>ISR</v>
      </c>
      <c r="B24" s="99" t="s">
        <v>47</v>
      </c>
      <c r="C24" s="83">
        <f>+[2]GDPgrowth!H19</f>
        <v>397.93459694999996</v>
      </c>
      <c r="D24" s="84">
        <f>+VLOOKUP($B24,[2]OECDimp!$A$2:$M$44,3,0)/1000</f>
        <v>12.144949389999999</v>
      </c>
      <c r="E24" s="101">
        <f t="shared" si="2"/>
        <v>0.16404740039621277</v>
      </c>
      <c r="F24" s="102">
        <f>IFERROR(VLOOKUP(B24,'[2]CBC- IRS'!A:N,14,0),"")</f>
        <v>0.30289837479079451</v>
      </c>
      <c r="G24" s="103">
        <f t="shared" si="15"/>
        <v>0.16404740039621277</v>
      </c>
      <c r="H24" s="104">
        <f>+VLOOKUP($B24,[2]OECDimp!$A$2:$M$44,8,0)/1000</f>
        <v>126.654625</v>
      </c>
      <c r="I24" s="104">
        <f t="shared" si="3"/>
        <v>87.806280705527797</v>
      </c>
      <c r="J24" s="88">
        <f>IFERROR(VLOOKUP(B24,'[2]Eurostat personel cost'!$A$14:$D$43,4,0)*H24,'Table U1'!O24/VLOOKUP('Table U1'!B24,'[2]Table II.F 1'!A:I,9,0))</f>
        <v>38.848344294472192</v>
      </c>
      <c r="K24" s="247">
        <f t="shared" si="0"/>
        <v>74.033171879999998</v>
      </c>
      <c r="L24" s="105">
        <f>+VLOOKUP($B24,[2]OECDimp!$A$2:$M$44,2,0)/1000</f>
        <v>74.033171879999998</v>
      </c>
      <c r="M24" s="87">
        <f t="shared" si="4"/>
        <v>0</v>
      </c>
      <c r="N24" s="90">
        <f t="shared" si="16"/>
        <v>20.772406866920793</v>
      </c>
      <c r="O24" s="88">
        <f t="shared" si="5"/>
        <v>20.772406866920793</v>
      </c>
      <c r="P24" s="106">
        <f>+TableB10!F25/1000-IFERROR(VLOOKUP('Table U1'!A24,'[2]fdiinterest_net (2)'!A:D,3,0)/1000000000,0)</f>
        <v>17.364747520429997</v>
      </c>
      <c r="Q24" s="88">
        <f>+IFERROR(VLOOKUP(B24,'[2]SPE FDI income'!A:H,7,0)-VLOOKUP(B24,'[2]SPE FDI income'!A:H,8,0),0)/1000</f>
        <v>0</v>
      </c>
      <c r="R24" s="88">
        <f>+(+TableB10!K25+TableB10!N25)/1000</f>
        <v>0</v>
      </c>
      <c r="S24" s="88">
        <f t="shared" si="6"/>
        <v>3.4076593464907949</v>
      </c>
      <c r="T24" s="88">
        <f>+IFERROR(VLOOKUP('Table U1'!A24,'[2]fdiinterest_net (2)'!A:D,3,0),0)/1000000000</f>
        <v>0.45879999999999999</v>
      </c>
      <c r="U24" s="107"/>
      <c r="V24" s="89">
        <f t="shared" si="7"/>
        <v>53.260765013079208</v>
      </c>
      <c r="W24" s="86">
        <f t="shared" si="8"/>
        <v>53.260765013079208</v>
      </c>
      <c r="X24" s="500">
        <f t="shared" si="9"/>
        <v>0.16404740039621277</v>
      </c>
      <c r="Y24" s="108">
        <f t="shared" si="10"/>
        <v>0.58452797819266367</v>
      </c>
      <c r="Z24" s="109">
        <f t="shared" si="11"/>
        <v>0.58452797819266367</v>
      </c>
      <c r="AA24" s="109">
        <f t="shared" si="12"/>
        <v>0.60657124507639237</v>
      </c>
      <c r="AB24" s="102">
        <f t="shared" si="13"/>
        <v>0.53470507544581614</v>
      </c>
      <c r="AC24" s="110">
        <f>+IFERROR(VLOOKUP(B24,'[2]Table II.F 1'!A:I,9,0),"")</f>
        <v>0.53470507544581614</v>
      </c>
      <c r="AD24" s="111">
        <f t="shared" si="14"/>
        <v>-2.7918817009335672</v>
      </c>
      <c r="AF24" s="37">
        <f>+N24-'[2]Table U2'!H25</f>
        <v>14.566042568979984</v>
      </c>
      <c r="AL24" s="37"/>
    </row>
    <row r="25" spans="1:38" x14ac:dyDescent="0.35">
      <c r="A25" s="1" t="str">
        <f>+VLOOKUP(B25,[7]Sheet1!$A$1:$C$65536,3,0)</f>
        <v>ITA</v>
      </c>
      <c r="B25" s="99" t="s">
        <v>48</v>
      </c>
      <c r="C25" s="83">
        <f>+[2]GDPgrowth!H20</f>
        <v>2011.2857425500001</v>
      </c>
      <c r="D25" s="84">
        <f>+VLOOKUP($B25,[2]OECDimp!$A$2:$M$44,3,0)/1000</f>
        <v>39.477272419999998</v>
      </c>
      <c r="E25" s="101">
        <f t="shared" si="2"/>
        <v>0.14060337965602235</v>
      </c>
      <c r="F25" s="102">
        <f>IFERROR(VLOOKUP(B25,'[2]CBC- IRS'!A:N,14,0),"")</f>
        <v>0.61973009554055614</v>
      </c>
      <c r="G25" s="103">
        <f t="shared" si="15"/>
        <v>0.14060337965602235</v>
      </c>
      <c r="H25" s="104">
        <f>+VLOOKUP($B25,[2]OECDimp!$A$2:$M$44,8,0)/1000</f>
        <v>562.72687499999995</v>
      </c>
      <c r="I25" s="104">
        <f t="shared" si="3"/>
        <v>460.79897362904808</v>
      </c>
      <c r="J25" s="88">
        <f>IFERROR(VLOOKUP(B25,'[2]Eurostat personel cost'!$A$14:$D$43,4,0)*H25,'Table U1'!O25/VLOOKUP('Table U1'!B25,'[2]Table II.F 1'!A:I,9,0))</f>
        <v>101.9279013709519</v>
      </c>
      <c r="K25" s="247">
        <f t="shared" si="0"/>
        <v>280.77043750000001</v>
      </c>
      <c r="L25" s="105">
        <f>+VLOOKUP($B25,[2]OECDimp!$A$2:$M$44,2,0)/1000</f>
        <v>280.77043750000001</v>
      </c>
      <c r="M25" s="87">
        <f t="shared" si="4"/>
        <v>0</v>
      </c>
      <c r="N25" s="90">
        <f t="shared" si="16"/>
        <v>19.671496221655428</v>
      </c>
      <c r="O25" s="88">
        <f t="shared" si="5"/>
        <v>19.671496221655428</v>
      </c>
      <c r="P25" s="106">
        <f>+VLOOKUP(A25,[2]ROU_E_2018!A:B,2,0)/1000</f>
        <v>16.905617370000002</v>
      </c>
      <c r="Q25" s="88">
        <f>+IFERROR(VLOOKUP(B25,'[2]SPE FDI income'!A:H,7,0)-VLOOKUP(B25,'[2]SPE FDI income'!A:H,8,0),0)/1000</f>
        <v>0</v>
      </c>
      <c r="R25" s="88">
        <f>+(+TableB10!K26+TableB10!N26)/1000</f>
        <v>0</v>
      </c>
      <c r="S25" s="88">
        <f t="shared" si="6"/>
        <v>2.7658788516554274</v>
      </c>
      <c r="T25" s="88">
        <f>+IFERROR(VLOOKUP('Table U1'!A25,'[2]fdiinterest_net (2)'!A:D,3,0),0)/1000000000</f>
        <v>3.0441600000000002</v>
      </c>
      <c r="U25" s="107"/>
      <c r="V25" s="89">
        <f t="shared" si="7"/>
        <v>261.09894127834457</v>
      </c>
      <c r="W25" s="86">
        <f t="shared" si="8"/>
        <v>261.09894127834457</v>
      </c>
      <c r="X25" s="500">
        <f t="shared" si="9"/>
        <v>0.14060337965602235</v>
      </c>
      <c r="Y25" s="108">
        <f t="shared" si="10"/>
        <v>0.4989462028093114</v>
      </c>
      <c r="Z25" s="109">
        <f t="shared" si="11"/>
        <v>0.4989462028093114</v>
      </c>
      <c r="AA25" s="109">
        <f t="shared" si="12"/>
        <v>0.56662222839179799</v>
      </c>
      <c r="AB25" s="102">
        <f t="shared" si="13"/>
        <v>0.19299422392759616</v>
      </c>
      <c r="AC25" s="110">
        <f>+IFERROR(VLOOKUP(B25,'[2]Table II.F 1'!A:I,9,0),"")</f>
        <v>0.43181680499182168</v>
      </c>
      <c r="AD25" s="111">
        <f t="shared" si="14"/>
        <v>-38.083118388452746</v>
      </c>
      <c r="AF25" s="37">
        <f>+N25-'[2]Table U2'!H26</f>
        <v>6.9823861418911566</v>
      </c>
      <c r="AL25" s="37"/>
    </row>
    <row r="26" spans="1:38" x14ac:dyDescent="0.35">
      <c r="A26" s="1" t="str">
        <f>+VLOOKUP(B26,[7]Sheet1!$A$1:$C$65536,3,0)</f>
        <v>JPN</v>
      </c>
      <c r="B26" s="99" t="s">
        <v>49</v>
      </c>
      <c r="C26" s="83">
        <f>+[2]GDPgrowth!H21</f>
        <v>5123.3181515100005</v>
      </c>
      <c r="D26" s="84">
        <f>+VLOOKUP($B26,[2]OECDimp!$A$2:$M$44,3,0)/1000</f>
        <v>193.06911738000002</v>
      </c>
      <c r="E26" s="101">
        <f t="shared" si="2"/>
        <v>0.31427689725634178</v>
      </c>
      <c r="F26" s="102">
        <f>IFERROR(VLOOKUP(B26,'[2]CBC- IRS'!A:N,14,0),"")</f>
        <v>0.2165199432314833</v>
      </c>
      <c r="G26" s="103">
        <f t="shared" si="15"/>
        <v>0.2165199432314833</v>
      </c>
      <c r="H26" s="104">
        <f>+VLOOKUP($B26,[2]OECDimp!$A$2:$M$44,8,0)/1000</f>
        <v>2208.1547500000001</v>
      </c>
      <c r="I26" s="104">
        <f t="shared" si="3"/>
        <v>2018.1171058374214</v>
      </c>
      <c r="J26" s="88">
        <f>+H26*(J43/H43)</f>
        <v>190.03764416257886</v>
      </c>
      <c r="K26" s="247">
        <f t="shared" si="0"/>
        <v>614.32806249999999</v>
      </c>
      <c r="L26" s="105">
        <f>+VLOOKUP($B26,[2]OECDimp!$A$2:$M$44,2,0)/1000</f>
        <v>614.32806249999999</v>
      </c>
      <c r="M26" s="87">
        <f t="shared" si="4"/>
        <v>0</v>
      </c>
      <c r="N26" s="90">
        <f t="shared" si="16"/>
        <v>39.475817045765581</v>
      </c>
      <c r="O26" s="88">
        <f t="shared" si="5"/>
        <v>39.475817045765581</v>
      </c>
      <c r="P26" s="106">
        <f>+VLOOKUP(A26,[2]ROU_E_2018!A:B,2,0)/1000</f>
        <v>30.92851538</v>
      </c>
      <c r="Q26" s="88">
        <f>+IFERROR(VLOOKUP(B26,'[2]SPE FDI income'!A:H,7,0)-VLOOKUP(B26,'[2]SPE FDI income'!A:H,8,0),0)/1000</f>
        <v>0</v>
      </c>
      <c r="R26" s="88">
        <f>+(+TableB10!K27+TableB10!N27)/1000</f>
        <v>0</v>
      </c>
      <c r="S26" s="88">
        <f t="shared" si="6"/>
        <v>8.547301665765584</v>
      </c>
      <c r="T26" s="88">
        <f>+IFERROR(VLOOKUP('Table U1'!A26,'[2]fdiinterest_net (2)'!A:D,3,0),0)/1000000000</f>
        <v>2.2734700000000001</v>
      </c>
      <c r="U26" s="107"/>
      <c r="V26" s="89">
        <f t="shared" si="7"/>
        <v>574.85224545423443</v>
      </c>
      <c r="W26" s="86">
        <f t="shared" si="8"/>
        <v>574.85224545423443</v>
      </c>
      <c r="X26" s="500">
        <f t="shared" si="9"/>
        <v>0.31427689725634178</v>
      </c>
      <c r="Y26" s="108">
        <f t="shared" si="10"/>
        <v>0.27820879062031317</v>
      </c>
      <c r="Z26" s="109">
        <f t="shared" si="11"/>
        <v>0.27820879062031317</v>
      </c>
      <c r="AA26" s="109">
        <f t="shared" si="12"/>
        <v>0.28484583168710542</v>
      </c>
      <c r="AB26" s="102">
        <f t="shared" si="13"/>
        <v>0.20772630191097127</v>
      </c>
      <c r="AC26" s="110">
        <f>+IFERROR(VLOOKUP(B26,'[2]Table II.F 1'!A:I,9,0),"")</f>
        <v>0.90656862373498082</v>
      </c>
      <c r="AD26" s="111">
        <f t="shared" si="14"/>
        <v>-14.655613757582387</v>
      </c>
      <c r="AF26" s="37">
        <f>+N26-'[2]Table U2'!H27</f>
        <v>6.8395560774088651</v>
      </c>
      <c r="AL26" s="37"/>
    </row>
    <row r="27" spans="1:38" x14ac:dyDescent="0.35">
      <c r="A27" s="1" t="s">
        <v>320</v>
      </c>
      <c r="B27" s="99" t="s">
        <v>50</v>
      </c>
      <c r="C27" s="83">
        <f>+[2]GDPgrowth!H22</f>
        <v>1651.42293245</v>
      </c>
      <c r="D27" s="84">
        <f>+VLOOKUP($B27,[2]OECDimp!$A$2:$M$44,3,0)/1000</f>
        <v>70.644415980000005</v>
      </c>
      <c r="E27" s="101">
        <f t="shared" si="2"/>
        <v>0.23969017123276415</v>
      </c>
      <c r="F27" s="102" t="str">
        <f>IFERROR(VLOOKUP(B27,'[2]CBC- IRS'!A:N,14,0),"")</f>
        <v/>
      </c>
      <c r="G27" s="103">
        <f t="shared" si="15"/>
        <v>0.23969017123276415</v>
      </c>
      <c r="H27" s="104">
        <f>+VLOOKUP($B27,[2]OECDimp!$A$2:$M$44,8,0)/1000</f>
        <v>548.60374999999999</v>
      </c>
      <c r="I27" s="104">
        <f t="shared" si="3"/>
        <v>544.98987793564766</v>
      </c>
      <c r="J27" s="88">
        <f>'Table U1'!O27/'[2]Table II.F 1'!I83</f>
        <v>3.613872064352301</v>
      </c>
      <c r="K27" s="247">
        <f t="shared" si="0"/>
        <v>294.73221875000002</v>
      </c>
      <c r="L27" s="105">
        <f>+VLOOKUP($B27,[2]OECDimp!$A$2:$M$44,2,0)/1000</f>
        <v>294.73221875000002</v>
      </c>
      <c r="M27" s="87">
        <f t="shared" si="4"/>
        <v>0</v>
      </c>
      <c r="N27" s="90">
        <f t="shared" si="16"/>
        <v>4.4888410893407524</v>
      </c>
      <c r="O27" s="88">
        <f t="shared" si="5"/>
        <v>4.4888410893407524</v>
      </c>
      <c r="P27" s="106">
        <f>+VLOOKUP(A27,[2]ROU_E_2018!A:B,2,0)/1000</f>
        <v>3.4129099999999997</v>
      </c>
      <c r="Q27" s="88">
        <f>+IFERROR(VLOOKUP(B27,'[2]SPE FDI income'!A:H,7,0)-VLOOKUP(B27,'[2]SPE FDI income'!A:H,8,0),0)/1000</f>
        <v>0</v>
      </c>
      <c r="R27" s="88">
        <f>+(+TableB10!K28+TableB10!N28)/1000</f>
        <v>0</v>
      </c>
      <c r="S27" s="88">
        <f t="shared" si="6"/>
        <v>1.0759310893407525</v>
      </c>
      <c r="T27" s="88">
        <f>+IFERROR(VLOOKUP('Table U1'!A27,'[2]fdiinterest_net (2)'!A:D,3,0),0)/1000000000</f>
        <v>1.4976</v>
      </c>
      <c r="U27" s="107"/>
      <c r="V27" s="89">
        <f t="shared" si="7"/>
        <v>290.24337766065923</v>
      </c>
      <c r="W27" s="86">
        <f t="shared" si="8"/>
        <v>290.24337766065923</v>
      </c>
      <c r="X27" s="500">
        <f t="shared" si="9"/>
        <v>0.23969017123276415</v>
      </c>
      <c r="Y27" s="108">
        <f t="shared" si="10"/>
        <v>0.53724061993743211</v>
      </c>
      <c r="Z27" s="109">
        <f t="shared" si="11"/>
        <v>0.53724061993743211</v>
      </c>
      <c r="AA27" s="109">
        <f t="shared" si="12"/>
        <v>0.53256654740096132</v>
      </c>
      <c r="AB27" s="102">
        <f t="shared" si="13"/>
        <v>1.2421140011068068</v>
      </c>
      <c r="AC27" s="110" t="str">
        <f>+IFERROR(VLOOKUP(B27,'[2]Table II.F 1'!A:I,9,0),"")</f>
        <v/>
      </c>
      <c r="AD27" s="111">
        <f t="shared" si="14"/>
        <v>2.5642137212798626</v>
      </c>
      <c r="AF27" s="37">
        <f>+N27-'[2]Table U2'!H28</f>
        <v>2.0530637362845385</v>
      </c>
      <c r="AL27" s="37"/>
    </row>
    <row r="28" spans="1:38" x14ac:dyDescent="0.35">
      <c r="A28" s="1" t="str">
        <f>+VLOOKUP(B28,[7]Sheet1!$A$1:$C$65536,3,0)</f>
        <v>LVA</v>
      </c>
      <c r="B28" s="99" t="s">
        <v>51</v>
      </c>
      <c r="C28" s="83">
        <f>+[2]GDPgrowth!H23</f>
        <v>34.308783830000003</v>
      </c>
      <c r="D28" s="84">
        <f>+VLOOKUP($A28,[2]globaltaxrev!A:B,2,0)</f>
        <v>5.339E-2</v>
      </c>
      <c r="E28" s="101">
        <f t="shared" si="2"/>
        <v>1.2146626835316298E-2</v>
      </c>
      <c r="F28" s="102">
        <f>IFERROR(VLOOKUP(B28,'[2]CBC- IRS'!A:N,14,0),"")</f>
        <v>0.1887582196106086</v>
      </c>
      <c r="G28" s="103">
        <f t="shared" si="15"/>
        <v>1.2146626835316298E-2</v>
      </c>
      <c r="H28" s="104">
        <f>+VLOOKUP($B28,[2]OECDimp!$A$2:$M$44,8,0)/1000</f>
        <v>12.77250293</v>
      </c>
      <c r="I28" s="104">
        <f t="shared" si="3"/>
        <v>8.6887939084642412</v>
      </c>
      <c r="J28" s="88">
        <f>IFERROR(VLOOKUP(B28,'[2]Eurostat personel cost'!$A$14:$D$43,4,0)*H28,'Table U1'!O28/VLOOKUP('Table U1'!B28,'[2]Table II.F 1'!A:I,9,0))</f>
        <v>4.0837090215357597</v>
      </c>
      <c r="K28" s="247">
        <f t="shared" si="0"/>
        <v>4.3954589799999999</v>
      </c>
      <c r="L28" s="105">
        <f>+VLOOKUP($B28,[2]OECDimp!$A$2:$M$44,2,0)/1000</f>
        <v>4.3954589799999999</v>
      </c>
      <c r="M28" s="87">
        <f t="shared" si="4"/>
        <v>0</v>
      </c>
      <c r="N28" s="90">
        <f t="shared" si="16"/>
        <v>1.6091573842659725</v>
      </c>
      <c r="O28" s="88">
        <f t="shared" si="5"/>
        <v>1.6091573842659725</v>
      </c>
      <c r="P28" s="106">
        <f>+VLOOKUP(A28,[2]ROU_E_2018!A:B,2,0)/1000</f>
        <v>1.5896115500000001</v>
      </c>
      <c r="Q28" s="88">
        <f>+IFERROR(VLOOKUP(B28,'[2]SPE FDI income'!A:H,7,0)-VLOOKUP(B28,'[2]SPE FDI income'!A:H,8,0),0)/1000</f>
        <v>0</v>
      </c>
      <c r="R28" s="88">
        <f>+(+TableB10!K29+TableB10!N29)/1000</f>
        <v>0</v>
      </c>
      <c r="S28" s="88">
        <f t="shared" si="6"/>
        <v>1.9545834265972443E-2</v>
      </c>
      <c r="T28" s="88">
        <f>+IFERROR(VLOOKUP('Table U1'!A28,'[2]fdiinterest_net (2)'!A:D,3,0),0)/1000000000</f>
        <v>2.792813176407E-2</v>
      </c>
      <c r="U28" s="107"/>
      <c r="V28" s="89">
        <f t="shared" si="7"/>
        <v>2.7863015957340274</v>
      </c>
      <c r="W28" s="86">
        <f t="shared" si="8"/>
        <v>2.7863015957340274</v>
      </c>
      <c r="X28" s="500">
        <f t="shared" si="9"/>
        <v>1.2146626835316298E-2</v>
      </c>
      <c r="Y28" s="108">
        <f t="shared" si="10"/>
        <v>0.34413450551465247</v>
      </c>
      <c r="Z28" s="109">
        <f t="shared" si="11"/>
        <v>0.34413450551465247</v>
      </c>
      <c r="AA28" s="109">
        <f t="shared" si="12"/>
        <v>0.32067760210306462</v>
      </c>
      <c r="AB28" s="102">
        <f t="shared" si="13"/>
        <v>0.39404310536817266</v>
      </c>
      <c r="AC28" s="110" t="str">
        <f>+IFERROR(VLOOKUP(B28,'[2]Table II.F 1'!A:I,9,0),"")</f>
        <v/>
      </c>
      <c r="AD28" s="111">
        <f t="shared" si="14"/>
        <v>0.29960336755323297</v>
      </c>
      <c r="AF28" s="37">
        <f>+N28-'[2]Table U2'!H29</f>
        <v>0.38920525752396928</v>
      </c>
      <c r="AL28" s="37"/>
    </row>
    <row r="29" spans="1:38" x14ac:dyDescent="0.35">
      <c r="A29" s="1" t="str">
        <f>+VLOOKUP(B29,[7]Sheet1!$A$1:$C$65536,3,0)</f>
        <v>LUX</v>
      </c>
      <c r="B29" s="99" t="s">
        <v>52</v>
      </c>
      <c r="C29" s="83">
        <f>+[2]GDPgrowth!H24</f>
        <v>70.195715500000006</v>
      </c>
      <c r="D29" s="84">
        <f>+VLOOKUP($B29,[2]OECDimp!$A$2:$M$44,3,0)/1000</f>
        <v>4.2104780600000007</v>
      </c>
      <c r="E29" s="101">
        <f t="shared" si="2"/>
        <v>7.5096814982155674E-2</v>
      </c>
      <c r="F29" s="102">
        <v>0.09</v>
      </c>
      <c r="G29" s="103">
        <f t="shared" si="15"/>
        <v>7.5096814982155674E-2</v>
      </c>
      <c r="H29" s="104">
        <f>+VLOOKUP($B29,[2]OECDimp!$A$2:$M$44,8,0)/1000</f>
        <v>26.105369140000001</v>
      </c>
      <c r="I29" s="104">
        <f t="shared" si="3"/>
        <v>15.027851348248952</v>
      </c>
      <c r="J29" s="88">
        <f>IFERROR(VLOOKUP(B29,'[2]Eurostat personel cost'!$A$14:$D$43,4,0)*H29,'Table U1'!O29/VLOOKUP('Table U1'!B29,'[2]Table II.F 1'!A:I,9,0))</f>
        <v>11.077517791751049</v>
      </c>
      <c r="K29" s="247">
        <f t="shared" si="0"/>
        <v>113.99230950014697</v>
      </c>
      <c r="L29" s="105">
        <f>+VLOOKUP($B29,[2]OECDimp!$A$2:$M$44,2,0)/1000</f>
        <v>56.067332029999996</v>
      </c>
      <c r="M29" s="87">
        <f t="shared" si="4"/>
        <v>57.924977470146985</v>
      </c>
      <c r="N29" s="90">
        <f t="shared" si="16"/>
        <v>66.48428187525424</v>
      </c>
      <c r="O29" s="88">
        <f t="shared" si="5"/>
        <v>13.027568146291756</v>
      </c>
      <c r="P29" s="106">
        <f>+VLOOKUP(A29,[2]ROU_E_2018!A:B,2,0)/1000</f>
        <v>11.513489310000001</v>
      </c>
      <c r="Q29" s="88">
        <f>+IFERROR(1.5*VLOOKUP(B29,'[2]SPE FDI income'!A:H,7,0)-VLOOKUP(B29,'[2]SPE FDI income'!A:H,8,0),0)/1000</f>
        <v>-4.468263741184499</v>
      </c>
      <c r="R29" s="88">
        <f>+(1+G29)*(+TableB10!K30+TableB10!N30)/1000</f>
        <v>57.924977470146985</v>
      </c>
      <c r="S29" s="88">
        <f t="shared" si="6"/>
        <v>1.514078836291755</v>
      </c>
      <c r="T29" s="88">
        <f>+IFERROR(VLOOKUP('Table U1'!A29,'[2]fdiinterest_net (2)'!A:D,3,0),0)/1000000000</f>
        <v>36.576799999999999</v>
      </c>
      <c r="U29" s="107">
        <f>+[2]OECDimp!N27*35%/1000</f>
        <v>44.638404030499991</v>
      </c>
      <c r="V29" s="89">
        <f t="shared" si="7"/>
        <v>2.8696235943927419</v>
      </c>
      <c r="W29" s="86">
        <f t="shared" si="8"/>
        <v>2.8696235943927419</v>
      </c>
      <c r="X29" s="500">
        <f t="shared" si="9"/>
        <v>3.693650982652099E-2</v>
      </c>
      <c r="Y29" s="108">
        <f t="shared" si="10"/>
        <v>2.1477318221135868</v>
      </c>
      <c r="Z29" s="109">
        <f t="shared" si="11"/>
        <v>4.3666231605008043</v>
      </c>
      <c r="AA29" s="109">
        <f t="shared" si="12"/>
        <v>0.19095368512060182</v>
      </c>
      <c r="AB29" s="102">
        <f t="shared" si="13"/>
        <v>6.0017309947145581</v>
      </c>
      <c r="AC29" s="110">
        <f>+IFERROR(VLOOKUP(B29,'[2]Table II.F 1'!A:I,9,0),"")</f>
        <v>0.15279361459521096</v>
      </c>
      <c r="AD29" s="111">
        <f t="shared" si="14"/>
        <v>64.368989030930351</v>
      </c>
      <c r="AF29" s="37">
        <f>+N29-'[2]Table U2'!H30</f>
        <v>15.963387528473667</v>
      </c>
      <c r="AL29" s="37"/>
    </row>
    <row r="30" spans="1:38" x14ac:dyDescent="0.35">
      <c r="A30" s="1" t="str">
        <f>+VLOOKUP(B30,[7]Sheet1!$A$1:$C$65536,3,0)</f>
        <v>MEX</v>
      </c>
      <c r="B30" s="99" t="s">
        <v>53</v>
      </c>
      <c r="C30" s="83">
        <f>+[2]GDPgrowth!H25</f>
        <v>1269.40427677</v>
      </c>
      <c r="D30" s="84">
        <f>+VLOOKUP($B30,[2]OECDimp!$A$2:$M$44,3,0)/1000</f>
        <v>41.718148390000003</v>
      </c>
      <c r="E30" s="101">
        <f t="shared" si="2"/>
        <v>0.13135328585524128</v>
      </c>
      <c r="F30" s="102">
        <f>IFERROR(VLOOKUP(B30,'[2]CBC- IRS'!A:N,14,0),"")</f>
        <v>0.33594305214728254</v>
      </c>
      <c r="G30" s="103">
        <f t="shared" si="15"/>
        <v>0.13135328585524128</v>
      </c>
      <c r="H30" s="104">
        <f>+VLOOKUP($B30,[2]OECDimp!$A$2:$M$44,8,0)/1000</f>
        <v>162.13789063000002</v>
      </c>
      <c r="I30" s="104">
        <f t="shared" si="3"/>
        <v>132.53916403595576</v>
      </c>
      <c r="J30" s="88">
        <f>IFERROR(VLOOKUP(B30,'[2]Eurostat personel cost'!$A$14:$D$43,4,0)*H30,'Table U1'!O30/VLOOKUP('Table U1'!B30,'[2]Table II.F 1'!A:I,9,0))</f>
        <v>29.598726594044258</v>
      </c>
      <c r="K30" s="247">
        <f t="shared" si="0"/>
        <v>317.60262499999999</v>
      </c>
      <c r="L30" s="105">
        <f>+VLOOKUP($B30,[2]OECDimp!$A$2:$M$44,2,0)/1000</f>
        <v>317.60262499999999</v>
      </c>
      <c r="M30" s="87">
        <f t="shared" si="4"/>
        <v>0</v>
      </c>
      <c r="N30" s="90">
        <f t="shared" si="16"/>
        <v>28.885133266985022</v>
      </c>
      <c r="O30" s="88">
        <f t="shared" si="5"/>
        <v>28.885133266985022</v>
      </c>
      <c r="P30" s="106">
        <f>+VLOOKUP(A30,[2]ROU_E_2018!A:B,2,0)/1000</f>
        <v>25.090976099999999</v>
      </c>
      <c r="Q30" s="88">
        <f>+IFERROR(VLOOKUP(B30,'[2]SPE FDI income'!A:H,7,0)-VLOOKUP(B30,'[2]SPE FDI income'!A:H,8,0),0)/1000</f>
        <v>0</v>
      </c>
      <c r="R30" s="88">
        <f>+(+TableB10!K31+TableB10!N31)/1000</f>
        <v>0</v>
      </c>
      <c r="S30" s="88">
        <f t="shared" si="6"/>
        <v>3.7941571669850234</v>
      </c>
      <c r="T30" s="88">
        <f>+IFERROR(VLOOKUP('Table U1'!A30,'[2]fdiinterest_net (2)'!A:D,3,0),0)/1000000000</f>
        <v>0.44375199999999998</v>
      </c>
      <c r="U30" s="107"/>
      <c r="V30" s="89">
        <f t="shared" si="7"/>
        <v>288.71749173301498</v>
      </c>
      <c r="W30" s="86">
        <f t="shared" si="8"/>
        <v>288.71749173301498</v>
      </c>
      <c r="X30" s="500">
        <f t="shared" si="9"/>
        <v>0.13135328585524128</v>
      </c>
      <c r="Y30" s="108">
        <f t="shared" si="10"/>
        <v>1.9588427095352545</v>
      </c>
      <c r="Z30" s="109">
        <f t="shared" si="11"/>
        <v>1.9588427095352545</v>
      </c>
      <c r="AA30" s="109">
        <f t="shared" si="12"/>
        <v>2.1783560642851989</v>
      </c>
      <c r="AB30" s="102">
        <f t="shared" si="13"/>
        <v>0.97589108015198123</v>
      </c>
      <c r="AC30" s="110">
        <f>+IFERROR(VLOOKUP(B30,'[2]Table II.F 1'!A:I,9,0),"")</f>
        <v>0.97589108015198123</v>
      </c>
      <c r="AD30" s="111">
        <f t="shared" si="14"/>
        <v>-35.591432304270874</v>
      </c>
      <c r="AF30" s="37">
        <f>+N30-'[2]Table U2'!H31</f>
        <v>4.5226043314680844</v>
      </c>
      <c r="AL30" s="37"/>
    </row>
    <row r="31" spans="1:38" x14ac:dyDescent="0.35">
      <c r="A31" s="1" t="str">
        <f>+VLOOKUP(B31,[7]Sheet1!$A$1:$C$65536,3,0)</f>
        <v>NLD</v>
      </c>
      <c r="B31" s="99" t="s">
        <v>54</v>
      </c>
      <c r="C31" s="83">
        <f>+[2]GDPgrowth!H26</f>
        <v>910.19434756999999</v>
      </c>
      <c r="D31" s="84">
        <f>+VLOOKUP($B31,[2]OECDimp!$A$2:$M$44,3,0)/1000</f>
        <v>33.62342658</v>
      </c>
      <c r="E31" s="101">
        <f t="shared" si="2"/>
        <v>0.20234989825799804</v>
      </c>
      <c r="F31" s="102">
        <f>IFERROR(VLOOKUP(B31,'[2]CBC- IRS'!A:N,14,0),"")</f>
        <v>5.8699682579738344E-2</v>
      </c>
      <c r="G31" s="103">
        <f t="shared" si="15"/>
        <v>5.8699682579738344E-2</v>
      </c>
      <c r="H31" s="104">
        <f>+VLOOKUP($B31,[2]OECDimp!$A$2:$M$44,8,0)/1000</f>
        <v>339.03518750000001</v>
      </c>
      <c r="I31" s="104">
        <f t="shared" si="3"/>
        <v>242.58203201042801</v>
      </c>
      <c r="J31" s="88">
        <f>IFERROR(VLOOKUP(B31,'[2]Eurostat personel cost'!$A$14:$D$43,4,0)*H31,'Table U1'!O31/VLOOKUP('Table U1'!B31,'[2]Table II.F 1'!A:I,9,0))</f>
        <v>96.453155489571984</v>
      </c>
      <c r="K31" s="247">
        <f t="shared" si="0"/>
        <v>234.99584366872517</v>
      </c>
      <c r="L31" s="105">
        <f>+VLOOKUP($B31,[2]OECDimp!$A$2:$M$44,2,0)/1000</f>
        <v>166.16478125</v>
      </c>
      <c r="M31" s="87">
        <f t="shared" si="4"/>
        <v>68.831062418725153</v>
      </c>
      <c r="N31" s="90">
        <f t="shared" si="16"/>
        <v>139.3364713929688</v>
      </c>
      <c r="O31" s="88">
        <f t="shared" si="5"/>
        <v>83.372306984990658</v>
      </c>
      <c r="P31" s="106">
        <f>+VLOOKUP(A31,[2]ROU_E_2018!A:B,2,0)/1000</f>
        <v>77.830472020000002</v>
      </c>
      <c r="Q31" s="88">
        <f>+IFERROR(VLOOKUP(B31,'[2]SPE FDI income'!A:H,7,0)-VLOOKUP(B31,'[2]SPE FDI income'!A:H,8,0),0)/1000</f>
        <v>-12.866898010747001</v>
      </c>
      <c r="R31" s="88">
        <f>+(1+G31)*(+TableB10!K32+TableB10!N32)/1000</f>
        <v>68.831062418725153</v>
      </c>
      <c r="S31" s="88">
        <f t="shared" si="6"/>
        <v>5.5418349649906515</v>
      </c>
      <c r="T31" s="88">
        <f>+IFERROR(VLOOKUP('Table U1'!A31,'[2]fdiinterest_net (2)'!A:D,3,0),0)/1000000000</f>
        <v>49.387799999999999</v>
      </c>
      <c r="U31" s="107">
        <f>+[2]OECDimp!N29*35%/1000</f>
        <v>24.215024249499997</v>
      </c>
      <c r="V31" s="89">
        <f t="shared" si="7"/>
        <v>71.444348026256364</v>
      </c>
      <c r="W31" s="86">
        <f t="shared" si="8"/>
        <v>71.444348026256364</v>
      </c>
      <c r="X31" s="500">
        <f t="shared" si="9"/>
        <v>0.14308094158209503</v>
      </c>
      <c r="Y31" s="108">
        <f t="shared" si="10"/>
        <v>0.49011072412653334</v>
      </c>
      <c r="Z31" s="109">
        <f t="shared" si="11"/>
        <v>0.69313113308843544</v>
      </c>
      <c r="AA31" s="109">
        <f t="shared" si="12"/>
        <v>0.29451624027613532</v>
      </c>
      <c r="AB31" s="102">
        <f t="shared" si="13"/>
        <v>1.4446025190750047</v>
      </c>
      <c r="AC31" s="110">
        <f>+IFERROR(VLOOKUP(B31,'[2]Table II.F 1'!A:I,9,0),"")</f>
        <v>1.6259084659202514</v>
      </c>
      <c r="AD31" s="111">
        <f t="shared" si="14"/>
        <v>110.92945067541058</v>
      </c>
      <c r="AF31" s="37">
        <f>+N31-'[2]Table U2'!H32</f>
        <v>50.378620290935118</v>
      </c>
      <c r="AL31" s="37"/>
    </row>
    <row r="32" spans="1:38" x14ac:dyDescent="0.35">
      <c r="A32" s="1" t="str">
        <f>+VLOOKUP(B32,[7]Sheet1!$A$1:$C$65536,3,0)</f>
        <v>NZL</v>
      </c>
      <c r="B32" s="99" t="s">
        <v>55</v>
      </c>
      <c r="C32" s="83">
        <f>+[2]GDPgrowth!H27</f>
        <v>213.43457136000001</v>
      </c>
      <c r="D32" s="84">
        <f>+VLOOKUP($B32,[2]OECDimp!$A$2:$M$44,3,0)/1000</f>
        <v>8.1469159199999996</v>
      </c>
      <c r="E32" s="101">
        <f t="shared" si="2"/>
        <v>0.22298327107139781</v>
      </c>
      <c r="F32" s="102">
        <f>IFERROR(VLOOKUP(B32,'[2]CBC- IRS'!A:N,14,0),"")</f>
        <v>0.36301443406301198</v>
      </c>
      <c r="G32" s="103">
        <f t="shared" si="15"/>
        <v>0.22298327107139781</v>
      </c>
      <c r="H32" s="104">
        <f>+VLOOKUP($B32,[2]OECDimp!$A$2:$M$44,8,0)/1000</f>
        <v>68.736882809999997</v>
      </c>
      <c r="I32" s="104">
        <f t="shared" si="3"/>
        <v>56.26891810547324</v>
      </c>
      <c r="J32" s="88">
        <f>IFERROR(VLOOKUP(B32,'[2]Eurostat personel cost'!$A$14:$D$43,4,0)*H32,'Table U1'!O32/VLOOKUP('Table U1'!B32,'[2]Table II.F 1'!A:I,9,0))</f>
        <v>12.467964704526759</v>
      </c>
      <c r="K32" s="247">
        <f t="shared" si="0"/>
        <v>36.535996089999998</v>
      </c>
      <c r="L32" s="105">
        <f>+VLOOKUP($B32,[2]OECDimp!$A$2:$M$44,2,0)/1000</f>
        <v>36.535996089999998</v>
      </c>
      <c r="M32" s="87">
        <f t="shared" si="4"/>
        <v>0</v>
      </c>
      <c r="N32" s="90">
        <f t="shared" si="16"/>
        <v>6.9164232247743769</v>
      </c>
      <c r="O32" s="88">
        <f t="shared" si="5"/>
        <v>6.9164232247743769</v>
      </c>
      <c r="P32" s="106">
        <f>+VLOOKUP(A32,[2]ROU_E_2018!A:B,2,0)/1000</f>
        <v>5.3741765500000005</v>
      </c>
      <c r="Q32" s="88">
        <f>+IFERROR(VLOOKUP(B32,'[2]SPE FDI income'!A:H,7,0)-VLOOKUP(B32,'[2]SPE FDI income'!A:H,8,0),0)/1000</f>
        <v>0</v>
      </c>
      <c r="R32" s="88">
        <f>+(+TableB10!K33+TableB10!N33)/1000</f>
        <v>0</v>
      </c>
      <c r="S32" s="88">
        <f t="shared" si="6"/>
        <v>1.5422466747743764</v>
      </c>
      <c r="T32" s="88">
        <f>+IFERROR(VLOOKUP('Table U1'!A32,'[2]fdiinterest_net (2)'!A:D,3,0),0)/1000000000</f>
        <v>8.065870801932E-2</v>
      </c>
      <c r="U32" s="107"/>
      <c r="V32" s="89">
        <f t="shared" si="7"/>
        <v>29.619572865225621</v>
      </c>
      <c r="W32" s="86">
        <f t="shared" si="8"/>
        <v>29.619572865225621</v>
      </c>
      <c r="X32" s="500">
        <f t="shared" si="9"/>
        <v>0.22298327107139781</v>
      </c>
      <c r="Y32" s="108">
        <f t="shared" si="10"/>
        <v>0.53153408470662655</v>
      </c>
      <c r="Z32" s="109">
        <f t="shared" si="11"/>
        <v>0.53153408470662655</v>
      </c>
      <c r="AA32" s="109">
        <f t="shared" si="12"/>
        <v>0.52639314674053672</v>
      </c>
      <c r="AB32" s="102">
        <f t="shared" si="13"/>
        <v>0.55473554735547359</v>
      </c>
      <c r="AC32" s="110">
        <f>+IFERROR(VLOOKUP(B32,'[2]Table II.F 1'!A:I,9,0),"")</f>
        <v>0.55473554735547359</v>
      </c>
      <c r="AD32" s="111">
        <f t="shared" si="14"/>
        <v>0.35337205050859039</v>
      </c>
      <c r="AF32" s="37">
        <f>+N32-'[2]Table U2'!H33</f>
        <v>0.63667863112201317</v>
      </c>
      <c r="AL32" s="37"/>
    </row>
    <row r="33" spans="1:38" x14ac:dyDescent="0.35">
      <c r="A33" s="1" t="str">
        <f>+VLOOKUP(B33,[7]Sheet1!$A$1:$C$65536,3,0)</f>
        <v>NOR</v>
      </c>
      <c r="B33" s="99" t="s">
        <v>56</v>
      </c>
      <c r="C33" s="83">
        <f>+[2]GDPgrowth!H28</f>
        <v>404.94136364000002</v>
      </c>
      <c r="D33" s="84">
        <f>+VLOOKUP($B33,[2]OECDimp!$A$2:$M$44,3,0)/1000</f>
        <v>23.824545450000002</v>
      </c>
      <c r="E33" s="101">
        <f t="shared" si="2"/>
        <v>0.30441752411647649</v>
      </c>
      <c r="F33" s="102">
        <f>IFERROR(VLOOKUP(B33,'[2]CBC- IRS'!A:N,14,0),"")</f>
        <v>1.3059008971081936</v>
      </c>
      <c r="G33" s="103">
        <f t="shared" si="15"/>
        <v>0.30441752411647649</v>
      </c>
      <c r="H33" s="104">
        <f>+VLOOKUP($B33,[2]OECDimp!$A$2:$M$44,8,0)/1000</f>
        <v>127.10386719</v>
      </c>
      <c r="I33" s="104">
        <f t="shared" si="3"/>
        <v>92.688996070669305</v>
      </c>
      <c r="J33" s="88">
        <f>IFERROR(VLOOKUP(B33,'[2]Eurostat personel cost'!$A$14:$D$43,4,0)*H33,'Table U1'!O33/VLOOKUP('Table U1'!B33,'[2]Table II.F 1'!A:I,9,0))</f>
        <v>34.414871119330698</v>
      </c>
      <c r="K33" s="247">
        <f t="shared" si="0"/>
        <v>78.26272655999999</v>
      </c>
      <c r="L33" s="105">
        <f>+VLOOKUP($B33,[2]OECDimp!$A$2:$M$44,2,0)/1000</f>
        <v>78.26272655999999</v>
      </c>
      <c r="M33" s="87">
        <f t="shared" si="4"/>
        <v>0</v>
      </c>
      <c r="N33" s="90">
        <f t="shared" si="16"/>
        <v>17.207601407347809</v>
      </c>
      <c r="O33" s="88">
        <f t="shared" si="5"/>
        <v>17.216239145169734</v>
      </c>
      <c r="P33" s="106">
        <f>+VLOOKUP(A33,[2]ROU_E_2018!A:B,2,0)/1000</f>
        <v>11.97531425</v>
      </c>
      <c r="Q33" s="88">
        <f>+IFERROR(VLOOKUP(B33,'[2]SPE FDI income'!A:H,7,0)-VLOOKUP(B33,'[2]SPE FDI income'!A:H,8,0),0)/1000</f>
        <v>-8.6377378219259955E-3</v>
      </c>
      <c r="R33" s="88">
        <f>+(+TableB10!K34+TableB10!N34)/1000</f>
        <v>0</v>
      </c>
      <c r="S33" s="88">
        <f t="shared" si="6"/>
        <v>5.2409248951697345</v>
      </c>
      <c r="T33" s="88">
        <f>+IFERROR(VLOOKUP('Table U1'!A33,'[2]fdiinterest_net (2)'!A:D,3,0),0)/1000000000</f>
        <v>2.1947399999999999</v>
      </c>
      <c r="U33" s="107"/>
      <c r="V33" s="89">
        <f t="shared" si="7"/>
        <v>61.055125152652181</v>
      </c>
      <c r="W33" s="86">
        <f t="shared" si="8"/>
        <v>61.055125152652181</v>
      </c>
      <c r="X33" s="500">
        <f t="shared" si="9"/>
        <v>0.30441752411647649</v>
      </c>
      <c r="Y33" s="108">
        <f t="shared" si="10"/>
        <v>0.61573835863711135</v>
      </c>
      <c r="Z33" s="109">
        <f t="shared" si="11"/>
        <v>0.61573835863711135</v>
      </c>
      <c r="AA33" s="109">
        <f t="shared" si="12"/>
        <v>0.65870953123822418</v>
      </c>
      <c r="AB33" s="102">
        <f t="shared" si="13"/>
        <v>0.50000481907027594</v>
      </c>
      <c r="AC33" s="110">
        <f>+IFERROR(VLOOKUP(B33,'[2]Table II.F 1'!A:I,9,0),"")</f>
        <v>1.5476378991818422</v>
      </c>
      <c r="AD33" s="111">
        <f t="shared" si="14"/>
        <v>-5.4618022152904127</v>
      </c>
      <c r="AF33" s="37">
        <f>+N33-'[2]Table U2'!H34</f>
        <v>10.80538001750927</v>
      </c>
      <c r="AL33" s="37"/>
    </row>
    <row r="34" spans="1:38" x14ac:dyDescent="0.35">
      <c r="A34" s="1" t="str">
        <f>+VLOOKUP(B34,[7]Sheet1!$A$1:$C$65536,3,0)</f>
        <v>POL</v>
      </c>
      <c r="B34" s="99" t="s">
        <v>57</v>
      </c>
      <c r="C34" s="83">
        <f>+[2]GDPgrowth!H29</f>
        <v>597.28056466999999</v>
      </c>
      <c r="D34" s="84">
        <f>+VLOOKUP($B34,[2]OECDimp!$A$2:$M$44,3,0)/1000</f>
        <v>13.1810516</v>
      </c>
      <c r="E34" s="101">
        <f t="shared" si="2"/>
        <v>0.1321003834619193</v>
      </c>
      <c r="F34" s="102">
        <f>IFERROR(VLOOKUP(B34,'[2]CBC- IRS'!A:N,14,0),"")</f>
        <v>0.25899535333231161</v>
      </c>
      <c r="G34" s="103">
        <f t="shared" si="15"/>
        <v>0.1321003834619193</v>
      </c>
      <c r="H34" s="104">
        <f>+VLOOKUP($B34,[2]OECDimp!$A$2:$M$44,8,0)/1000</f>
        <v>153.44215625000001</v>
      </c>
      <c r="I34" s="104">
        <f t="shared" si="3"/>
        <v>93.237530475068894</v>
      </c>
      <c r="J34" s="88">
        <f>IFERROR(VLOOKUP(B34,'[2]Eurostat personel cost'!$A$14:$D$43,4,0)*H34,'Table U1'!O34/VLOOKUP('Table U1'!B34,'[2]Table II.F 1'!A:I,9,0))</f>
        <v>60.204625774931124</v>
      </c>
      <c r="K34" s="247">
        <f t="shared" si="0"/>
        <v>99.780570310000002</v>
      </c>
      <c r="L34" s="105">
        <f>+VLOOKUP($B34,[2]OECDimp!$A$2:$M$44,2,0)/1000</f>
        <v>99.780570310000002</v>
      </c>
      <c r="M34" s="87">
        <f t="shared" si="4"/>
        <v>0</v>
      </c>
      <c r="N34" s="90">
        <f t="shared" si="16"/>
        <v>24.387456540685438</v>
      </c>
      <c r="O34" s="88">
        <f t="shared" si="5"/>
        <v>24.387456540685438</v>
      </c>
      <c r="P34" s="106">
        <f>+VLOOKUP(A34,[2]ROU_E_2018!A:B,2,0)/1000</f>
        <v>21.16586418</v>
      </c>
      <c r="Q34" s="88">
        <f>+IFERROR(VLOOKUP(B34,'[2]SPE FDI income'!A:H,7,0)-VLOOKUP(B34,'[2]SPE FDI income'!A:H,8,0),0)/1000</f>
        <v>0</v>
      </c>
      <c r="R34" s="88">
        <f>+(+TableB10!K35+TableB10!N35)/1000</f>
        <v>0</v>
      </c>
      <c r="S34" s="88">
        <f t="shared" si="6"/>
        <v>3.2215923606854382</v>
      </c>
      <c r="T34" s="88">
        <f>+IFERROR(VLOOKUP('Table U1'!A34,'[2]fdiinterest_net (2)'!A:D,3,0),0)/1000000000</f>
        <v>0.66900000000000004</v>
      </c>
      <c r="U34" s="107"/>
      <c r="V34" s="89">
        <f t="shared" si="7"/>
        <v>75.393113769314567</v>
      </c>
      <c r="W34" s="86">
        <f t="shared" si="8"/>
        <v>75.393113769314567</v>
      </c>
      <c r="X34" s="500">
        <f t="shared" si="9"/>
        <v>0.1321003834619193</v>
      </c>
      <c r="Y34" s="108">
        <f t="shared" si="10"/>
        <v>0.65028133564174928</v>
      </c>
      <c r="Z34" s="109">
        <f t="shared" si="11"/>
        <v>0.65028133564174928</v>
      </c>
      <c r="AA34" s="109">
        <f t="shared" si="12"/>
        <v>0.808613370443935</v>
      </c>
      <c r="AB34" s="102">
        <f t="shared" si="13"/>
        <v>0.4050761254102877</v>
      </c>
      <c r="AC34" s="110">
        <f>+IFERROR(VLOOKUP(B34,'[2]Table II.F 1'!A:I,9,0),"")</f>
        <v>0.4544564152791381</v>
      </c>
      <c r="AD34" s="111">
        <f t="shared" si="14"/>
        <v>-24.294808823497419</v>
      </c>
      <c r="AF34" s="37">
        <f>+N34-'[2]Table U2'!H35</f>
        <v>4.6775942838125175</v>
      </c>
      <c r="AL34" s="37"/>
    </row>
    <row r="35" spans="1:38" x14ac:dyDescent="0.35">
      <c r="A35" s="1" t="str">
        <f>+VLOOKUP(B35,[7]Sheet1!$A$1:$C$65536,3,0)</f>
        <v>PRT</v>
      </c>
      <c r="B35" s="99" t="s">
        <v>58</v>
      </c>
      <c r="C35" s="83">
        <f>+[2]GDPgrowth!H30</f>
        <v>239.98692264000002</v>
      </c>
      <c r="D35" s="84">
        <f>+VLOOKUP($B35,[2]OECDimp!$A$2:$M$44,3,0)/1000</f>
        <v>7.4580846199999993</v>
      </c>
      <c r="E35" s="101">
        <f t="shared" si="2"/>
        <v>0.24045787374660385</v>
      </c>
      <c r="F35" s="102">
        <f>IFERROR(VLOOKUP(B35,'[2]CBC- IRS'!A:N,14,0),"")</f>
        <v>0.29889738305597108</v>
      </c>
      <c r="G35" s="103">
        <f t="shared" si="15"/>
        <v>0.24045787374660385</v>
      </c>
      <c r="H35" s="104">
        <f>+VLOOKUP($B35,[2]OECDimp!$A$2:$M$44,8,0)/1000</f>
        <v>75.611874999999998</v>
      </c>
      <c r="I35" s="104">
        <f t="shared" si="3"/>
        <v>56.648553228299733</v>
      </c>
      <c r="J35" s="88">
        <f>IFERROR(VLOOKUP(B35,'[2]Eurostat personel cost'!$A$14:$D$43,4,0)*H35,'Table U1'!O35/VLOOKUP('Table U1'!B35,'[2]Table II.F 1'!A:I,9,0))</f>
        <v>18.963321771700262</v>
      </c>
      <c r="K35" s="247">
        <f t="shared" si="0"/>
        <v>31.016179690000001</v>
      </c>
      <c r="L35" s="105">
        <f>+VLOOKUP($B35,[2]OECDimp!$A$2:$M$44,2,0)/1000</f>
        <v>31.016179690000001</v>
      </c>
      <c r="M35" s="87">
        <f t="shared" si="4"/>
        <v>0</v>
      </c>
      <c r="N35" s="90">
        <f t="shared" si="16"/>
        <v>8.3503587762535076</v>
      </c>
      <c r="O35" s="88">
        <f t="shared" si="5"/>
        <v>8.3257309916346784</v>
      </c>
      <c r="P35" s="106">
        <f>+VLOOKUP(A35,[2]ROU_E_2018!A:B,2,0)/1000</f>
        <v>6.3237434199999996</v>
      </c>
      <c r="Q35" s="88">
        <f>+IFERROR(VLOOKUP(B35,'[2]SPE FDI income'!A:H,7,0)-VLOOKUP(B35,'[2]SPE FDI income'!A:H,8,0),0)/1000</f>
        <v>2.4627784618828998E-2</v>
      </c>
      <c r="R35" s="88">
        <f>+(+TableB10!K36+TableB10!N36)/1000</f>
        <v>0</v>
      </c>
      <c r="S35" s="88">
        <f t="shared" si="6"/>
        <v>2.001987571634678</v>
      </c>
      <c r="T35" s="88">
        <f>+IFERROR(VLOOKUP('Table U1'!A35,'[2]fdiinterest_net (2)'!A:D,3,0),0)/1000000000</f>
        <v>0.171844</v>
      </c>
      <c r="U35" s="107"/>
      <c r="V35" s="89">
        <f t="shared" si="7"/>
        <v>22.665820913746494</v>
      </c>
      <c r="W35" s="86">
        <f t="shared" si="8"/>
        <v>22.665820913746494</v>
      </c>
      <c r="X35" s="500">
        <f t="shared" si="9"/>
        <v>0.24045787374660385</v>
      </c>
      <c r="Y35" s="108">
        <f t="shared" si="10"/>
        <v>0.41020249385430529</v>
      </c>
      <c r="Z35" s="109">
        <f t="shared" si="11"/>
        <v>0.41020249385430529</v>
      </c>
      <c r="AA35" s="109">
        <f t="shared" si="12"/>
        <v>0.40011297062434781</v>
      </c>
      <c r="AB35" s="102">
        <f t="shared" si="13"/>
        <v>0.44034261912462447</v>
      </c>
      <c r="AC35" s="110">
        <f>+IFERROR(VLOOKUP(B35,'[2]Table II.F 1'!A:I,9,0),"")</f>
        <v>0.50826121164437454</v>
      </c>
      <c r="AD35" s="111">
        <f t="shared" si="14"/>
        <v>0.76288776927314517</v>
      </c>
      <c r="AF35" s="37">
        <f>+N35-'[2]Table U2'!H36</f>
        <v>3.5748476098357775</v>
      </c>
      <c r="AL35" s="37"/>
    </row>
    <row r="36" spans="1:38" x14ac:dyDescent="0.35">
      <c r="A36" s="1" t="s">
        <v>322</v>
      </c>
      <c r="B36" s="99" t="s">
        <v>59</v>
      </c>
      <c r="C36" s="83">
        <f>+[2]GDPgrowth!H31</f>
        <v>105.28437563999999</v>
      </c>
      <c r="D36" s="84">
        <f>+VLOOKUP($B36,[2]OECDimp!$A$2:$M$44,3,0)/1000</f>
        <v>3.1883594799999999</v>
      </c>
      <c r="E36" s="101">
        <f t="shared" si="2"/>
        <v>0.20693705786348196</v>
      </c>
      <c r="F36" s="102" t="str">
        <f>IFERROR(VLOOKUP(B36,'[2]CBC- IRS'!A:N,14,0),"")</f>
        <v/>
      </c>
      <c r="G36" s="103">
        <f t="shared" si="15"/>
        <v>0.20693705786348196</v>
      </c>
      <c r="H36" s="104">
        <f>+VLOOKUP($B36,[2]OECDimp!$A$2:$M$44,8,0)/1000</f>
        <v>28.925318360000002</v>
      </c>
      <c r="I36" s="104">
        <f t="shared" si="3"/>
        <v>19.354470677981546</v>
      </c>
      <c r="J36" s="88">
        <f>+'[2]Table U2'!I37</f>
        <v>9.5708476820184547</v>
      </c>
      <c r="K36" s="247">
        <f t="shared" si="0"/>
        <v>15.407387699999999</v>
      </c>
      <c r="L36" s="105">
        <f>+VLOOKUP($B36,[2]OECDimp!$A$2:$M$44,2,0)/1000</f>
        <v>15.407387699999999</v>
      </c>
      <c r="M36" s="87">
        <f t="shared" si="4"/>
        <v>0</v>
      </c>
      <c r="N36" s="90">
        <f t="shared" si="16"/>
        <v>6.1160460945671691</v>
      </c>
      <c r="O36" s="88">
        <f t="shared" si="5"/>
        <v>6.1160460945671691</v>
      </c>
      <c r="P36" s="106">
        <f>+VLOOKUP(A36,[2]ROU_E_2018!A:B,2,0)/1000</f>
        <v>4.8504095100000004</v>
      </c>
      <c r="Q36" s="88">
        <f>+IFERROR(VLOOKUP(B36,'[2]SPE FDI income'!A:H,7,0)-VLOOKUP(B36,'[2]SPE FDI income'!A:H,8,0),0)/1000</f>
        <v>0</v>
      </c>
      <c r="R36" s="88">
        <f>+(+TableB10!K37+TableB10!N37)/1000</f>
        <v>0</v>
      </c>
      <c r="S36" s="88">
        <f t="shared" si="6"/>
        <v>1.2656365845671691</v>
      </c>
      <c r="T36" s="88">
        <f>+IFERROR(VLOOKUP('Table U1'!A36,'[2]fdiinterest_net (2)'!A:D,3,0),0)/1000000000</f>
        <v>0.17877100000000001</v>
      </c>
      <c r="U36" s="107"/>
      <c r="V36" s="89">
        <f t="shared" si="7"/>
        <v>9.2913416054328302</v>
      </c>
      <c r="W36" s="86">
        <f t="shared" si="8"/>
        <v>9.2913416054328302</v>
      </c>
      <c r="X36" s="500">
        <f t="shared" si="9"/>
        <v>0.20693705786348196</v>
      </c>
      <c r="Y36" s="108">
        <f t="shared" si="10"/>
        <v>0.53266095495448151</v>
      </c>
      <c r="Z36" s="109">
        <f t="shared" si="11"/>
        <v>0.53266095495448151</v>
      </c>
      <c r="AA36" s="109">
        <f t="shared" si="12"/>
        <v>0.4800617779747936</v>
      </c>
      <c r="AB36" s="102">
        <f t="shared" si="13"/>
        <v>0.63902867308795352</v>
      </c>
      <c r="AC36" s="110" t="str">
        <f>+IFERROR(VLOOKUP(B36,'[2]Table II.F 1'!A:I,9,0),"")</f>
        <v/>
      </c>
      <c r="AD36" s="111">
        <f t="shared" si="14"/>
        <v>1.5214479396114575</v>
      </c>
      <c r="AF36" s="37">
        <f>+N36-'[2]Table U2'!H37</f>
        <v>0.63918245254482287</v>
      </c>
      <c r="AL36" s="37"/>
    </row>
    <row r="37" spans="1:38" x14ac:dyDescent="0.35">
      <c r="A37" s="1" t="str">
        <f>+VLOOKUP(B37,[7]Sheet1!$A$1:$C$65536,3,0)</f>
        <v>SVN</v>
      </c>
      <c r="B37" s="99" t="s">
        <v>60</v>
      </c>
      <c r="C37" s="83">
        <f>+[2]GDPgrowth!H32</f>
        <v>54.178877610000001</v>
      </c>
      <c r="D37" s="84">
        <f>+VLOOKUP($B37,[2]OECDimp!$A$2:$M$44,3,0)/1000</f>
        <v>1.06746403</v>
      </c>
      <c r="E37" s="101">
        <f t="shared" si="2"/>
        <v>0.20920782513333547</v>
      </c>
      <c r="F37" s="102">
        <f>IFERROR(VLOOKUP(B37,'[2]CBC- IRS'!A:N,14,0),"")</f>
        <v>0.13064384340025489</v>
      </c>
      <c r="G37" s="103">
        <f t="shared" si="15"/>
        <v>0.13064384340025489</v>
      </c>
      <c r="H37" s="104">
        <f>+VLOOKUP($B37,[2]OECDimp!$A$2:$M$44,8,0)/1000</f>
        <v>19.802166020000001</v>
      </c>
      <c r="I37" s="104">
        <f t="shared" si="3"/>
        <v>13.951042463049708</v>
      </c>
      <c r="J37" s="88">
        <f>IFERROR(VLOOKUP(B37,'[2]Eurostat personel cost'!$A$14:$D$43,4,0)*H37,'Table U1'!O37/VLOOKUP('Table U1'!B37,'[2]Table II.F 1'!A:I,9,0))</f>
        <v>5.8511235569502933</v>
      </c>
      <c r="K37" s="247">
        <f t="shared" si="0"/>
        <v>5.1024096700000001</v>
      </c>
      <c r="L37" s="105">
        <f>+VLOOKUP($B37,[2]OECDimp!$A$2:$M$44,2,0)/1000</f>
        <v>5.1024096700000001</v>
      </c>
      <c r="M37" s="87">
        <f t="shared" si="4"/>
        <v>0</v>
      </c>
      <c r="N37" s="90">
        <f t="shared" si="16"/>
        <v>1.8013899920202845</v>
      </c>
      <c r="O37" s="88">
        <f t="shared" si="5"/>
        <v>1.8013899920202845</v>
      </c>
      <c r="P37" s="106">
        <f>+VLOOKUP(A37,[2]ROU_E_2018!A:B,2,0)/1000</f>
        <v>1.56604948</v>
      </c>
      <c r="Q37" s="88">
        <f>+IFERROR(VLOOKUP(B37,'[2]SPE FDI income'!A:H,7,0)-VLOOKUP(B37,'[2]SPE FDI income'!A:H,8,0),0)/1000</f>
        <v>0</v>
      </c>
      <c r="R37" s="88">
        <f>+(+TableB10!K38+TableB10!N38)/1000</f>
        <v>0</v>
      </c>
      <c r="S37" s="88">
        <f t="shared" si="6"/>
        <v>0.23534051202028444</v>
      </c>
      <c r="T37" s="88">
        <f>+IFERROR(VLOOKUP('Table U1'!A37,'[2]fdiinterest_net (2)'!A:D,3,0),0)/1000000000</f>
        <v>3.1863729863150003E-2</v>
      </c>
      <c r="U37" s="107"/>
      <c r="V37" s="89">
        <f t="shared" si="7"/>
        <v>3.3010196779797156</v>
      </c>
      <c r="W37" s="86">
        <f t="shared" si="8"/>
        <v>3.3010196779797156</v>
      </c>
      <c r="X37" s="500">
        <f t="shared" si="9"/>
        <v>0.20920782513333547</v>
      </c>
      <c r="Y37" s="108">
        <f t="shared" si="10"/>
        <v>0.25766927036399018</v>
      </c>
      <c r="Z37" s="109">
        <f t="shared" si="11"/>
        <v>0.25766927036399018</v>
      </c>
      <c r="AA37" s="109">
        <f t="shared" si="12"/>
        <v>0.23661455312193999</v>
      </c>
      <c r="AB37" s="102">
        <f t="shared" si="13"/>
        <v>0.30787078319009215</v>
      </c>
      <c r="AC37" s="110" t="str">
        <f>+IFERROR(VLOOKUP(B37,'[2]Table II.F 1'!A:I,9,0),"")</f>
        <v/>
      </c>
      <c r="AD37" s="111">
        <f t="shared" si="14"/>
        <v>0.41692900633123486</v>
      </c>
      <c r="AF37" s="37">
        <f>+N37-'[2]Table U2'!H38</f>
        <v>0.54877812582751484</v>
      </c>
      <c r="AL37" s="37"/>
    </row>
    <row r="38" spans="1:38" x14ac:dyDescent="0.35">
      <c r="A38" s="1" t="str">
        <f>+VLOOKUP(B38,[7]Sheet1!$A$1:$C$65536,3,0)</f>
        <v>ESP</v>
      </c>
      <c r="B38" s="99" t="s">
        <v>61</v>
      </c>
      <c r="C38" s="83">
        <f>+[2]GDPgrowth!H33</f>
        <v>1393.04609314</v>
      </c>
      <c r="D38" s="84">
        <f>+VLOOKUP($B38,[2]OECDimp!$A$2:$M$44,3,0)/1000</f>
        <v>28.790653730000002</v>
      </c>
      <c r="E38" s="101">
        <f t="shared" si="2"/>
        <v>0.14637700889241106</v>
      </c>
      <c r="F38" s="102">
        <f>IFERROR(VLOOKUP(B38,'[2]CBC- IRS'!A:N,14,0),"")</f>
        <v>0.20079896648729428</v>
      </c>
      <c r="G38" s="103">
        <f t="shared" si="15"/>
        <v>0.14637700889241106</v>
      </c>
      <c r="H38" s="104">
        <f>+VLOOKUP($B38,[2]OECDimp!$A$2:$M$44,8,0)/1000</f>
        <v>443.21800000000002</v>
      </c>
      <c r="I38" s="104">
        <f t="shared" si="3"/>
        <v>346.12251190554048</v>
      </c>
      <c r="J38" s="88">
        <f>IFERROR(VLOOKUP(B38,'[2]Eurostat personel cost'!$A$14:$D$43,4,0)*H38,'Table U1'!O38/VLOOKUP('Table U1'!B38,'[2]Table II.F 1'!A:I,9,0))</f>
        <v>97.09548809445954</v>
      </c>
      <c r="K38" s="247">
        <f t="shared" si="0"/>
        <v>196.68835938000001</v>
      </c>
      <c r="L38" s="105">
        <f>+VLOOKUP($B38,[2]OECDimp!$A$2:$M$44,2,0)/1000</f>
        <v>196.68835938000001</v>
      </c>
      <c r="M38" s="87">
        <f t="shared" si="4"/>
        <v>0</v>
      </c>
      <c r="N38" s="90">
        <f t="shared" si="16"/>
        <v>33.410387611165795</v>
      </c>
      <c r="O38" s="88">
        <f t="shared" si="5"/>
        <v>33.393595939834775</v>
      </c>
      <c r="P38" s="106">
        <f>+VLOOKUP(A38,[2]ROU_E_2018!A:B,2,0)/1000</f>
        <v>28.505541249999997</v>
      </c>
      <c r="Q38" s="88">
        <f>+IFERROR(VLOOKUP(B38,'[2]SPE FDI income'!A:H,7,0)-VLOOKUP(B38,'[2]SPE FDI income'!A:H,8,0),0)/1000</f>
        <v>1.6791671331019602E-2</v>
      </c>
      <c r="R38" s="88">
        <f>+(+TableB10!K39+TableB10!N39)/1000</f>
        <v>0</v>
      </c>
      <c r="S38" s="88">
        <f t="shared" si="6"/>
        <v>4.8880546898347763</v>
      </c>
      <c r="T38" s="88">
        <f>+IFERROR(VLOOKUP('Table U1'!A38,'[2]fdiinterest_net (2)'!A:D,3,0),0)/1000000000</f>
        <v>1.7921</v>
      </c>
      <c r="U38" s="107"/>
      <c r="V38" s="89">
        <f t="shared" si="7"/>
        <v>163.27797176883422</v>
      </c>
      <c r="W38" s="86">
        <f t="shared" si="8"/>
        <v>163.27797176883422</v>
      </c>
      <c r="X38" s="500">
        <f t="shared" si="9"/>
        <v>0.14637700889241106</v>
      </c>
      <c r="Y38" s="108">
        <f t="shared" si="10"/>
        <v>0.44377340130590365</v>
      </c>
      <c r="Z38" s="109">
        <f t="shared" si="11"/>
        <v>0.44377340130590365</v>
      </c>
      <c r="AA38" s="109">
        <f t="shared" si="12"/>
        <v>0.47173462040918634</v>
      </c>
      <c r="AB38" s="102">
        <f t="shared" si="13"/>
        <v>0.34409825077208978</v>
      </c>
      <c r="AC38" s="110">
        <f>+IFERROR(VLOOKUP(B38,'[2]Table II.F 1'!A:I,9,0),"")</f>
        <v>0.4293726809905945</v>
      </c>
      <c r="AD38" s="111">
        <f t="shared" si="14"/>
        <v>-12.392915608518747</v>
      </c>
      <c r="AF38" s="37">
        <f>+N38-'[2]Table U2'!H39</f>
        <v>12.976230364789192</v>
      </c>
      <c r="AL38" s="37"/>
    </row>
    <row r="39" spans="1:38" x14ac:dyDescent="0.35">
      <c r="A39" s="1" t="str">
        <f>+VLOOKUP(B39,[7]Sheet1!$A$1:$C$65536,3,0)</f>
        <v>SWE</v>
      </c>
      <c r="B39" s="99" t="s">
        <v>62</v>
      </c>
      <c r="C39" s="83">
        <f>+[2]GDPgrowth!H34</f>
        <v>533.87952919000008</v>
      </c>
      <c r="D39" s="84">
        <f>+VLOOKUP($B39,[2]OECDimp!$A$2:$M$44,3,0)/1000</f>
        <v>16.0662123</v>
      </c>
      <c r="E39" s="101">
        <f t="shared" si="2"/>
        <v>0.23518861913508096</v>
      </c>
      <c r="F39" s="102">
        <f>IFERROR(VLOOKUP(B39,'[2]CBC- IRS'!A:N,14,0),"")</f>
        <v>0.17960692048884103</v>
      </c>
      <c r="G39" s="103">
        <f t="shared" si="15"/>
        <v>0.17960692048884103</v>
      </c>
      <c r="H39" s="104">
        <f>+VLOOKUP($B39,[2]OECDimp!$A$2:$M$44,8,0)/1000</f>
        <v>178.997625</v>
      </c>
      <c r="I39" s="104">
        <f t="shared" si="3"/>
        <v>129.62802777425725</v>
      </c>
      <c r="J39" s="88">
        <f>IFERROR(VLOOKUP(B39,'[2]Eurostat personel cost'!$A$14:$D$43,4,0)*H39,'Table U1'!O39/VLOOKUP('Table U1'!B39,'[2]Table II.F 1'!A:I,9,0))</f>
        <v>49.369597225742751</v>
      </c>
      <c r="K39" s="51">
        <f t="shared" si="0"/>
        <v>68.312031250000004</v>
      </c>
      <c r="L39" s="105">
        <f>+VLOOKUP($B39,[2]OECDimp!$A$2:$M$44,2,0)/1000</f>
        <v>68.312031250000004</v>
      </c>
      <c r="M39" s="87">
        <f t="shared" si="4"/>
        <v>0</v>
      </c>
      <c r="N39" s="90">
        <f t="shared" si="16"/>
        <v>26.780860990552945</v>
      </c>
      <c r="O39" s="88">
        <f t="shared" si="5"/>
        <v>26.780860990552945</v>
      </c>
      <c r="P39" s="106">
        <f>+VLOOKUP(A39,[2]ROU_E_2018!A:B,2,0)/1000</f>
        <v>21.970833019999997</v>
      </c>
      <c r="Q39" s="88">
        <f>+IFERROR(VLOOKUP(B39,'[2]SPE FDI income'!A:H,7,0)-VLOOKUP(B39,'[2]SPE FDI income'!A:H,8,0),0)/1000</f>
        <v>0</v>
      </c>
      <c r="R39" s="88">
        <f>+(+TableB10!K40+TableB10!N40)/1000</f>
        <v>0</v>
      </c>
      <c r="S39" s="88">
        <f t="shared" si="6"/>
        <v>4.8100279705529472</v>
      </c>
      <c r="T39" s="88">
        <f>+IFERROR(VLOOKUP('Table U1'!A39,'[2]fdiinterest_net (2)'!A:D,3,0),0)/1000000000</f>
        <v>3.3603499999999999</v>
      </c>
      <c r="U39" s="107"/>
      <c r="V39" s="89">
        <f t="shared" si="7"/>
        <v>41.531170259447059</v>
      </c>
      <c r="W39" s="86">
        <f t="shared" si="8"/>
        <v>41.531170259447059</v>
      </c>
      <c r="X39" s="500">
        <f t="shared" si="9"/>
        <v>0.23518861913508096</v>
      </c>
      <c r="Y39" s="108">
        <f t="shared" si="10"/>
        <v>0.38163652311029267</v>
      </c>
      <c r="Z39" s="109">
        <f t="shared" si="11"/>
        <v>0.38163652311029267</v>
      </c>
      <c r="AA39" s="109">
        <f t="shared" si="12"/>
        <v>0.32038727251001736</v>
      </c>
      <c r="AB39" s="102">
        <f t="shared" si="13"/>
        <v>0.54245654199075821</v>
      </c>
      <c r="AC39" s="110">
        <f>+IFERROR(VLOOKUP(B39,'[2]Table II.F 1'!A:I,9,0),"")</f>
        <v>0.44974783861671469</v>
      </c>
      <c r="AD39" s="111">
        <f t="shared" si="14"/>
        <v>10.963470390479102</v>
      </c>
      <c r="AF39" s="37">
        <f>+N39-'[2]Table U2'!H40</f>
        <v>3.2575154735529139</v>
      </c>
      <c r="AJ39" s="71"/>
      <c r="AL39" s="37"/>
    </row>
    <row r="40" spans="1:38" x14ac:dyDescent="0.35">
      <c r="A40" s="1" t="str">
        <f>+VLOOKUP(B40,[7]Sheet1!$A$1:$C$65536,3,0)</f>
        <v>CHE</v>
      </c>
      <c r="B40" s="99" t="s">
        <v>63</v>
      </c>
      <c r="C40" s="83">
        <f>+[2]GDPgrowth!H35</f>
        <v>731.76739805</v>
      </c>
      <c r="D40" s="84">
        <f>+VLOOKUP($B40,[2]OECDimp!$A$2:$M$44,3,0)/1000</f>
        <v>22.74218106</v>
      </c>
      <c r="E40" s="101">
        <f t="shared" si="2"/>
        <v>0.22664367909480065</v>
      </c>
      <c r="F40" s="102">
        <v>0.08</v>
      </c>
      <c r="G40" s="103">
        <f t="shared" si="15"/>
        <v>0.08</v>
      </c>
      <c r="H40" s="104">
        <f>+VLOOKUP($B40,[2]OECDimp!$A$2:$M$44,8,0)/1000</f>
        <v>346.24878124999998</v>
      </c>
      <c r="I40" s="104">
        <f t="shared" si="3"/>
        <v>313.44788233353773</v>
      </c>
      <c r="J40" s="88">
        <f>IFERROR(VLOOKUP(B40,'[2]Eurostat personel cost'!$A$14:$D$43,4,0)*H40,'Table U1'!O40/VLOOKUP('Table U1'!B40,'[2]Table II.F 1'!A:I,9,0))</f>
        <v>32.800898916462231</v>
      </c>
      <c r="K40" s="247">
        <f t="shared" ref="K40:K51" si="17">L40+M40</f>
        <v>100.34332812999999</v>
      </c>
      <c r="L40" s="105">
        <f>+VLOOKUP($B40,[2]OECDimp!$A$2:$M$44,2,0)/1000</f>
        <v>100.34332812999999</v>
      </c>
      <c r="M40" s="87">
        <f t="shared" si="4"/>
        <v>0</v>
      </c>
      <c r="N40" s="90">
        <f t="shared" si="16"/>
        <v>110.78186544233228</v>
      </c>
      <c r="O40" s="88">
        <f t="shared" si="5"/>
        <v>110.70364171739132</v>
      </c>
      <c r="P40" s="106">
        <f>+VLOOKUP(A40,[2]ROU_E_2018!A:B,2,0)/1000</f>
        <v>101.84735038000001</v>
      </c>
      <c r="Q40" s="88">
        <f>+IFERROR(VLOOKUP(B40,'[2]SPE FDI income'!A:H,7,0)-VLOOKUP(B40,'[2]SPE FDI income'!A:H,8,0),0)/1000</f>
        <v>7.8223724940951006E-2</v>
      </c>
      <c r="R40" s="88">
        <f>+(+TableB10!K41+TableB10!N41)/1000</f>
        <v>0</v>
      </c>
      <c r="S40" s="88">
        <f t="shared" si="6"/>
        <v>8.8562913373913048</v>
      </c>
      <c r="T40" s="88">
        <f>+IFERROR(VLOOKUP('Table U1'!A40,'[2]fdiinterest_net (2)'!A:D,3,0),0)/1000000000</f>
        <v>11.589</v>
      </c>
      <c r="U40" s="107"/>
      <c r="V40" s="89">
        <f t="shared" si="7"/>
        <v>-10.438537312332286</v>
      </c>
      <c r="W40" s="86">
        <f t="shared" si="8"/>
        <v>-10.438537312332286</v>
      </c>
      <c r="X40" s="500">
        <f t="shared" si="9"/>
        <v>0.22664367909480065</v>
      </c>
      <c r="Y40" s="108">
        <f t="shared" si="10"/>
        <v>0.28980124570474569</v>
      </c>
      <c r="Z40" s="109">
        <f t="shared" si="11"/>
        <v>0.28980124570474569</v>
      </c>
      <c r="AA40" s="109">
        <f t="shared" si="12"/>
        <v>-3.3302306063196528E-2</v>
      </c>
      <c r="AB40" s="102">
        <f t="shared" si="13"/>
        <v>3.3774033365510201</v>
      </c>
      <c r="AC40" s="110">
        <f>+IFERROR(VLOOKUP(B40,'[2]Table II.F 1'!A:I,9,0),"")</f>
        <v>3.3750185322461084</v>
      </c>
      <c r="AD40" s="111">
        <f t="shared" si="14"/>
        <v>111.87421101719627</v>
      </c>
      <c r="AF40" s="37">
        <f>+N40-'[2]Table U2'!H41</f>
        <v>50.778144644022191</v>
      </c>
      <c r="AL40" s="37"/>
    </row>
    <row r="41" spans="1:38" x14ac:dyDescent="0.35">
      <c r="A41" s="1" t="str">
        <f>+VLOOKUP(B41,[7]Sheet1!$A$1:$C$65536,3,0)</f>
        <v>TUR</v>
      </c>
      <c r="B41" s="99" t="s">
        <v>64</v>
      </c>
      <c r="C41" s="83">
        <f>+[2]GDPgrowth!H36</f>
        <v>761.00442561</v>
      </c>
      <c r="D41" s="84">
        <f>+VLOOKUP($B41,[2]OECDimp!$A$2:$M$44,3,0)/1000</f>
        <v>16.29379977</v>
      </c>
      <c r="E41" s="101">
        <f t="shared" si="2"/>
        <v>9.7820222150218739E-2</v>
      </c>
      <c r="F41" s="102">
        <f>IFERROR(VLOOKUP(B41,'[2]CBC- IRS'!A:N,14,0),"")</f>
        <v>0.34770223599361505</v>
      </c>
      <c r="G41" s="103">
        <f t="shared" si="15"/>
        <v>9.7820222150218739E-2</v>
      </c>
      <c r="H41" s="104">
        <f>+VLOOKUP($B41,[2]OECDimp!$A$2:$M$44,8,0)/1000</f>
        <v>173.24946875000001</v>
      </c>
      <c r="I41" s="104">
        <f t="shared" si="3"/>
        <v>169.44136883538556</v>
      </c>
      <c r="J41" s="88">
        <f>IFERROR(VLOOKUP(B41,'[2]Eurostat personel cost'!$A$14:$D$43,4,0)*H41,'Table U1'!O41/VLOOKUP('Table U1'!B41,'[2]Table II.F 1'!A:I,9,0))</f>
        <v>3.8080999146144423</v>
      </c>
      <c r="K41" s="247">
        <f t="shared" si="17"/>
        <v>166.56882811999998</v>
      </c>
      <c r="L41" s="105">
        <f>+VLOOKUP($B41,[2]OECDimp!$A$2:$M$44,2,0)/1000</f>
        <v>166.56882811999998</v>
      </c>
      <c r="M41" s="87">
        <f t="shared" si="4"/>
        <v>0</v>
      </c>
      <c r="N41" s="90">
        <f t="shared" si="16"/>
        <v>3.1252972735878348</v>
      </c>
      <c r="O41" s="88">
        <f t="shared" si="5"/>
        <v>3.1252972735878348</v>
      </c>
      <c r="P41" s="106">
        <f>+VLOOKUP(A41,[2]ROU_E_2018!A:B,2,0)/1000</f>
        <v>2.8195799999999998</v>
      </c>
      <c r="Q41" s="88">
        <f>+IFERROR(VLOOKUP(B41,'[2]SPE FDI income'!A:H,7,0)-VLOOKUP(B41,'[2]SPE FDI income'!A:H,8,0),0)/1000</f>
        <v>0</v>
      </c>
      <c r="R41" s="88">
        <f>+(+TableB10!K42+TableB10!N42)/1000</f>
        <v>0</v>
      </c>
      <c r="S41" s="88">
        <f t="shared" si="6"/>
        <v>0.3057172735878349</v>
      </c>
      <c r="T41" s="88">
        <f>+IFERROR(VLOOKUP('Table U1'!A41,'[2]fdiinterest_net (2)'!A:D,3,0),0)/1000000000</f>
        <v>3.0000000000000001E-3</v>
      </c>
      <c r="U41" s="107"/>
      <c r="V41" s="89">
        <f t="shared" si="7"/>
        <v>163.44353084641213</v>
      </c>
      <c r="W41" s="86">
        <f t="shared" si="8"/>
        <v>163.44353084641213</v>
      </c>
      <c r="X41" s="500">
        <f t="shared" si="9"/>
        <v>9.7820222150218739E-2</v>
      </c>
      <c r="Y41" s="108">
        <f t="shared" ref="Y41:Y72" si="18">+L41/H41</f>
        <v>0.96143918548090768</v>
      </c>
      <c r="Z41" s="109">
        <f t="shared" ref="Z41:Z72" si="19">+K41/H41</f>
        <v>0.96143918548090768</v>
      </c>
      <c r="AA41" s="109">
        <f t="shared" ref="AA41:AA72" si="20">+W41/I41</f>
        <v>0.96460228083496891</v>
      </c>
      <c r="AB41" s="102">
        <f t="shared" ref="AB41:AB72" si="21">+N41/J41</f>
        <v>0.82069728832318756</v>
      </c>
      <c r="AC41" s="110">
        <f>+IFERROR(VLOOKUP(B41,'[2]Table II.F 1'!A:I,9,0),"")</f>
        <v>0.82069728832318756</v>
      </c>
      <c r="AD41" s="111">
        <f t="shared" si="14"/>
        <v>-0.54800458969670651</v>
      </c>
      <c r="AF41" s="37">
        <f>+N41-'[2]Table U2'!H42</f>
        <v>-0.40184063285551197</v>
      </c>
      <c r="AL41" s="37"/>
    </row>
    <row r="42" spans="1:38" x14ac:dyDescent="0.35">
      <c r="A42" s="1" t="str">
        <f>+VLOOKUP(B42,[7]Sheet1!$A$1:$C$65536,3,0)</f>
        <v>GBR</v>
      </c>
      <c r="B42" s="99" t="s">
        <v>65</v>
      </c>
      <c r="C42" s="83">
        <f>+[2]GDPgrowth!H37</f>
        <v>2878.67391241</v>
      </c>
      <c r="D42" s="84">
        <f>+VLOOKUP($B42,[2]OECDimp!$A$2:$M$44,3,0)/1000</f>
        <v>65.100932419999992</v>
      </c>
      <c r="E42" s="101">
        <f t="shared" si="2"/>
        <v>0.16932759954336171</v>
      </c>
      <c r="F42" s="102">
        <f>IFERROR(VLOOKUP(B42,'[2]CBC- IRS'!A:N,14,0),"")</f>
        <v>0.15724105029403612</v>
      </c>
      <c r="G42" s="103">
        <f t="shared" si="15"/>
        <v>0.15724105029403612</v>
      </c>
      <c r="H42" s="104">
        <f>+VLOOKUP($B42,[2]OECDimp!$A$2:$M$44,8,0)/1000</f>
        <v>1074.266875</v>
      </c>
      <c r="I42" s="104">
        <f t="shared" si="3"/>
        <v>792.05444570063355</v>
      </c>
      <c r="J42" s="88">
        <f>IFERROR(VLOOKUP(B42,'[2]Eurostat personel cost'!$A$14:$D$43,4,0)*H42,'Table U1'!O42/VLOOKUP('Table U1'!B42,'[2]Table II.F 1'!A:I,9,0))</f>
        <v>282.21242929936642</v>
      </c>
      <c r="K42" s="247">
        <f t="shared" si="17"/>
        <v>384.46734375</v>
      </c>
      <c r="L42" s="105">
        <f>+VLOOKUP($B42,[2]OECDimp!$A$2:$M$44,2,0)/1000</f>
        <v>384.46734375</v>
      </c>
      <c r="M42" s="87">
        <f t="shared" si="4"/>
        <v>0</v>
      </c>
      <c r="N42" s="90">
        <f t="shared" si="16"/>
        <v>61.257944324426397</v>
      </c>
      <c r="O42" s="88">
        <f t="shared" si="5"/>
        <v>61.257944324426397</v>
      </c>
      <c r="P42" s="106">
        <f>+VLOOKUP(A42,[2]ROU_E_2018!A:B,2,0)/1000</f>
        <v>51.625680819999999</v>
      </c>
      <c r="Q42" s="88">
        <f>+IFERROR(VLOOKUP(B42,'[2]SPE FDI income'!A:H,7,0)-VLOOKUP(B42,'[2]SPE FDI income'!A:H,8,0),0)/1000</f>
        <v>0</v>
      </c>
      <c r="R42" s="88">
        <f>+(+TableB10!K43+TableB10!N43)/1000</f>
        <v>0</v>
      </c>
      <c r="S42" s="88">
        <f t="shared" si="6"/>
        <v>9.6322635044263958</v>
      </c>
      <c r="T42" s="88">
        <f>+IFERROR(VLOOKUP('Table U1'!A42,'[2]fdiinterest_net (2)'!A:D,3,0),0)/1000000000</f>
        <v>12.682</v>
      </c>
      <c r="U42" s="107"/>
      <c r="V42" s="89">
        <f t="shared" si="7"/>
        <v>323.20939942557362</v>
      </c>
      <c r="W42" s="86">
        <f t="shared" si="8"/>
        <v>323.20939942557362</v>
      </c>
      <c r="X42" s="500">
        <f t="shared" si="9"/>
        <v>0.16932759954336171</v>
      </c>
      <c r="Y42" s="108">
        <f t="shared" si="18"/>
        <v>0.35788811206712484</v>
      </c>
      <c r="Z42" s="109">
        <f t="shared" si="19"/>
        <v>0.35788811206712484</v>
      </c>
      <c r="AA42" s="109">
        <f t="shared" si="20"/>
        <v>0.40806462381467962</v>
      </c>
      <c r="AB42" s="102">
        <f t="shared" si="21"/>
        <v>0.21706324018579973</v>
      </c>
      <c r="AC42" s="110">
        <f>+IFERROR(VLOOKUP(B42,'[2]Table II.F 1'!A:I,9,0),"")</f>
        <v>0.13966115237247817</v>
      </c>
      <c r="AD42" s="111">
        <f t="shared" si="14"/>
        <v>-53.902964473446431</v>
      </c>
      <c r="AF42" s="37">
        <f>+N42-'[2]Table U2'!H43</f>
        <v>-10.386933406334585</v>
      </c>
      <c r="AL42" s="37"/>
    </row>
    <row r="43" spans="1:38" x14ac:dyDescent="0.35">
      <c r="A43" s="1" t="str">
        <f>+VLOOKUP(B43,[7]Sheet1!$A$1:$C$65536,3,0)</f>
        <v>USA</v>
      </c>
      <c r="B43" s="99" t="s">
        <v>66</v>
      </c>
      <c r="C43" s="83">
        <f>+[2]GDPgrowth!H38</f>
        <v>21372.572436999999</v>
      </c>
      <c r="D43" s="84">
        <f>+VLOOKUP($B43,[2]OECDimp!$A$2:$M$44,3,0)/1000</f>
        <v>286.81979999999999</v>
      </c>
      <c r="E43" s="101">
        <f t="shared" si="2"/>
        <v>0.14136996672268334</v>
      </c>
      <c r="F43" s="102">
        <f>IFERROR(VLOOKUP(B43,'[2]CBC- IRS'!A:N,14,0),"")</f>
        <v>0.12808350511918973</v>
      </c>
      <c r="G43" s="103">
        <f t="shared" si="15"/>
        <v>0.12808350511918973</v>
      </c>
      <c r="H43" s="104">
        <f>+VLOOKUP($B43,[2]OECDimp!$A$2:$M$44,8,0)/1000</f>
        <v>7185.2020000000002</v>
      </c>
      <c r="I43" s="104">
        <f t="shared" si="3"/>
        <v>6566.8310000000001</v>
      </c>
      <c r="J43" s="88">
        <f>+'[2]US FATS'!H5/1000</f>
        <v>618.37099999999998</v>
      </c>
      <c r="K43" s="247">
        <f t="shared" si="17"/>
        <v>2028.8595</v>
      </c>
      <c r="L43" s="105">
        <f>+VLOOKUP($B43,[2]OECDimp!$A$2:$M$44,2,0)/1000</f>
        <v>2028.8595</v>
      </c>
      <c r="M43" s="87">
        <f t="shared" si="4"/>
        <v>0</v>
      </c>
      <c r="N43" s="90">
        <f t="shared" si="16"/>
        <v>201.91252001113352</v>
      </c>
      <c r="O43" s="88">
        <f t="shared" si="5"/>
        <v>200.77152001113353</v>
      </c>
      <c r="P43" s="106">
        <f>+VLOOKUP(A43,[2]ROU_E_2018!A:B,2,0)/1000</f>
        <v>175.05600000000001</v>
      </c>
      <c r="Q43" s="88">
        <f>+IFERROR(VLOOKUP(B43,'[2]SPE FDI income'!A:H,7,0)-VLOOKUP(B43,'[2]SPE FDI income'!A:H,8,0),0)/1000</f>
        <v>1.141</v>
      </c>
      <c r="R43" s="88">
        <f>+(+TableB10!K44+TableB10!N44)/1000</f>
        <v>0</v>
      </c>
      <c r="S43" s="88">
        <f t="shared" si="6"/>
        <v>25.715520011133524</v>
      </c>
      <c r="T43" s="88">
        <f>+IFERROR(VLOOKUP('Table U1'!A43,'[2]fdiinterest_net (2)'!A:D,3,0),0)/1000000000</f>
        <v>26.501999999999999</v>
      </c>
      <c r="U43" s="107"/>
      <c r="V43" s="89">
        <f t="shared" si="7"/>
        <v>1826.9469799888666</v>
      </c>
      <c r="W43" s="86">
        <f t="shared" si="8"/>
        <v>1826.9469799888666</v>
      </c>
      <c r="X43" s="500">
        <f t="shared" si="9"/>
        <v>0.14136996672268334</v>
      </c>
      <c r="Y43" s="108">
        <f t="shared" si="18"/>
        <v>0.28236638301887684</v>
      </c>
      <c r="Z43" s="109">
        <f t="shared" si="19"/>
        <v>0.28236638301887684</v>
      </c>
      <c r="AA43" s="109">
        <f t="shared" si="20"/>
        <v>0.27820831387146505</v>
      </c>
      <c r="AB43" s="102">
        <f t="shared" si="21"/>
        <v>0.3265232684118976</v>
      </c>
      <c r="AC43" s="110" t="str">
        <f>+IFERROR(VLOOKUP(B43,'[2]Table II.F 1'!A:I,9,0),"")</f>
        <v/>
      </c>
      <c r="AD43" s="111">
        <f t="shared" si="14"/>
        <v>29.876566754121818</v>
      </c>
      <c r="AF43" s="37">
        <f>+N43-'[2]Table U2'!H44</f>
        <v>42.818688011133531</v>
      </c>
      <c r="AL43" s="37"/>
    </row>
    <row r="44" spans="1:38" s="34" customFormat="1" ht="40" customHeight="1" x14ac:dyDescent="0.35">
      <c r="A44" s="70"/>
      <c r="B44" s="76" t="s">
        <v>67</v>
      </c>
      <c r="C44" s="113">
        <f>+SUM(C45:C51)</f>
        <v>21453.353573870001</v>
      </c>
      <c r="D44" s="113">
        <f t="shared" ref="D44:K44" si="22">+SUM(D45:D51)</f>
        <v>787.13963766636698</v>
      </c>
      <c r="E44" s="135">
        <f t="shared" si="2"/>
        <v>0.18252321031484497</v>
      </c>
      <c r="F44" s="136" t="str">
        <f>IFERROR(VLOOKUP(B44,'[2]CBC- IRS'!A:N,14,0),"")</f>
        <v/>
      </c>
      <c r="G44" s="137">
        <f t="shared" si="15"/>
        <v>0.18252321031484497</v>
      </c>
      <c r="H44" s="104">
        <f t="shared" si="22"/>
        <v>5800.5258830204812</v>
      </c>
      <c r="I44" s="104">
        <f t="shared" si="22"/>
        <v>5123.5572833245742</v>
      </c>
      <c r="J44" s="86">
        <f>+SUM(J45:J51)</f>
        <v>676.96859969590616</v>
      </c>
      <c r="K44" s="247">
        <f t="shared" si="22"/>
        <v>4312.5454363233239</v>
      </c>
      <c r="L44" s="104">
        <f t="shared" ref="L44:V44" si="23">+SUM(L45:L51)</f>
        <v>4312.5454363233239</v>
      </c>
      <c r="M44" s="112">
        <f t="shared" si="23"/>
        <v>0</v>
      </c>
      <c r="N44" s="90">
        <f t="shared" si="23"/>
        <v>367.76638080750843</v>
      </c>
      <c r="O44" s="86">
        <f t="shared" si="23"/>
        <v>367.76638080750843</v>
      </c>
      <c r="P44" s="138">
        <f t="shared" si="23"/>
        <v>301.07435154914941</v>
      </c>
      <c r="Q44" s="86">
        <f t="shared" si="23"/>
        <v>0</v>
      </c>
      <c r="R44" s="86">
        <f t="shared" si="23"/>
        <v>0</v>
      </c>
      <c r="S44" s="86">
        <f t="shared" si="23"/>
        <v>66.692029258359014</v>
      </c>
      <c r="T44" s="145">
        <f t="shared" si="23"/>
        <v>8.092925207557327</v>
      </c>
      <c r="U44" s="113">
        <f t="shared" si="23"/>
        <v>0</v>
      </c>
      <c r="V44" s="113">
        <f t="shared" si="23"/>
        <v>3944.7790555158163</v>
      </c>
      <c r="W44" s="112">
        <f t="shared" ref="W44:W51" si="24">K44-N44</f>
        <v>3944.7790555158153</v>
      </c>
      <c r="X44" s="500">
        <f t="shared" si="9"/>
        <v>0.18252321031484497</v>
      </c>
      <c r="Y44" s="139">
        <f t="shared" si="18"/>
        <v>0.74347490611966238</v>
      </c>
      <c r="Z44" s="140">
        <f t="shared" si="19"/>
        <v>0.74347490611966238</v>
      </c>
      <c r="AA44" s="140">
        <f t="shared" si="20"/>
        <v>0.76992972604302123</v>
      </c>
      <c r="AB44" s="136">
        <f t="shared" si="21"/>
        <v>0.54325471073947718</v>
      </c>
      <c r="AC44" s="141" t="str">
        <f>+IFERROR(VLOOKUP(B44,'[2]Table II.F 1'!A:I,9,0),"")</f>
        <v/>
      </c>
      <c r="AD44" s="113">
        <f>+SUM(AD45:AD51)</f>
        <v>-259.91895213962306</v>
      </c>
      <c r="AF44" s="37">
        <f>+N44-'[2]Table U2'!H45</f>
        <v>106.51423534077338</v>
      </c>
    </row>
    <row r="45" spans="1:38" x14ac:dyDescent="0.35">
      <c r="A45" s="1" t="str">
        <f>+VLOOKUP(B45,[7]Sheet1!$A$1:$C$65536,3,0)</f>
        <v>BRA</v>
      </c>
      <c r="B45" s="99" t="s">
        <v>68</v>
      </c>
      <c r="C45" s="83">
        <f>+[2]GDPgrowth!H40</f>
        <v>1873.2881589800002</v>
      </c>
      <c r="D45" s="84">
        <f>+VLOOKUP($A45,[2]globaltaxrev!A:B,2,0)</f>
        <v>52.606450000000002</v>
      </c>
      <c r="E45" s="101">
        <f t="shared" si="2"/>
        <v>0.14984628219025761</v>
      </c>
      <c r="F45" s="102">
        <f>IFERROR(VLOOKUP(B45,'[2]CBC- IRS'!A:N,14,0),"")</f>
        <v>0.54641743727976377</v>
      </c>
      <c r="G45" s="103">
        <f t="shared" si="15"/>
        <v>0.14984628219025761</v>
      </c>
      <c r="H45" s="104">
        <f>+VLOOKUP($B45,[2]OECDimp!$A$2:$M$44,8,0)/1000</f>
        <v>511.96625</v>
      </c>
      <c r="I45" s="104">
        <f t="shared" ref="I45:I51" si="25">+H45-J45</f>
        <v>302.0057483947777</v>
      </c>
      <c r="J45" s="88">
        <f>+O45/'[2]Table II.F 1'!$I$42</f>
        <v>209.96050160522228</v>
      </c>
      <c r="K45" s="247">
        <f t="shared" si="17"/>
        <v>351.06943749999999</v>
      </c>
      <c r="L45" s="105">
        <f>+VLOOKUP($B45,[2]OECDimp!$A$2:$M$44,2,0)/1000</f>
        <v>351.06943749999999</v>
      </c>
      <c r="M45" s="87">
        <f t="shared" ref="M45:M51" si="26">R45</f>
        <v>0</v>
      </c>
      <c r="N45" s="90">
        <f t="shared" ref="N45:N51" si="27">P45+Q45+R45+S45</f>
        <v>63.414764730894397</v>
      </c>
      <c r="O45" s="88">
        <f t="shared" ref="O45:O88" si="28">+P45+S45</f>
        <v>63.414764730894397</v>
      </c>
      <c r="P45" s="106">
        <f>+TableB10!F46/1000-IFERROR(VLOOKUP('Table U1'!A45,'[2]fdiinterest_net (2)'!A:D,3,0)/1000000000,0)</f>
        <v>53.912298</v>
      </c>
      <c r="Q45" s="88">
        <f>+IFERROR(VLOOKUP(B45,'[2]SPE FDI income'!A:H,7,0)-VLOOKUP(B45,'[2]SPE FDI income'!A:H,8,0),0)/1000</f>
        <v>0</v>
      </c>
      <c r="R45" s="88">
        <f>+(+TableB10!K46+TableB10!N46)/1000</f>
        <v>0</v>
      </c>
      <c r="S45" s="88">
        <f>+(P45)*(G45/(1-G45))+1%*R45</f>
        <v>9.5024667308943975</v>
      </c>
      <c r="T45" s="245">
        <f>+IFERROR(VLOOKUP('Table U1'!A45,'[2]fdiinterest_net (2)'!A:D,3,0),0)/1000000000</f>
        <v>0.13870199999999999</v>
      </c>
      <c r="U45" s="107"/>
      <c r="V45" s="89">
        <f t="shared" ref="V45:V52" si="29">+K45-N45</f>
        <v>287.65467276910562</v>
      </c>
      <c r="W45" s="112">
        <f t="shared" si="24"/>
        <v>287.65467276910562</v>
      </c>
      <c r="X45" s="500">
        <f t="shared" si="9"/>
        <v>0.14984628219025761</v>
      </c>
      <c r="Y45" s="108">
        <f t="shared" si="18"/>
        <v>0.68572769689408231</v>
      </c>
      <c r="Z45" s="109">
        <f t="shared" si="19"/>
        <v>0.68572769689408231</v>
      </c>
      <c r="AA45" s="109">
        <f t="shared" si="20"/>
        <v>0.95248078653485579</v>
      </c>
      <c r="AB45" s="102">
        <f t="shared" si="21"/>
        <v>0.30203187859652697</v>
      </c>
      <c r="AC45" s="110">
        <f>+IFERROR(VLOOKUP(B45,'[2]Table II.F 1'!A:I,9,0),"")</f>
        <v>0.30203187859652697</v>
      </c>
      <c r="AD45" s="111">
        <f t="shared" ref="AD45:AD51" si="30">+(AB45-AA45)*J45</f>
        <v>-136.56857897930058</v>
      </c>
      <c r="AF45" s="37">
        <f>+N45-'[2]Table U2'!H46</f>
        <v>34.447341572121971</v>
      </c>
    </row>
    <row r="46" spans="1:38" x14ac:dyDescent="0.35">
      <c r="A46" s="1" t="s">
        <v>319</v>
      </c>
      <c r="B46" s="99" t="s">
        <v>70</v>
      </c>
      <c r="C46" s="83">
        <f>+[2]GDPgrowth!H41</f>
        <v>14279.93750061</v>
      </c>
      <c r="D46" s="84">
        <f>+VLOOKUP($A46,[2]globaltaxrev!A:B,2,0)</f>
        <v>537.69146999999998</v>
      </c>
      <c r="E46" s="101">
        <f t="shared" si="2"/>
        <v>0.18393106289861413</v>
      </c>
      <c r="F46" s="102">
        <f>IFERROR(VLOOKUP(B46,'[2]CBC- IRS'!A:N,14,0),"")</f>
        <v>0.26496849654468402</v>
      </c>
      <c r="G46" s="103">
        <f t="shared" si="15"/>
        <v>0.18393106289861413</v>
      </c>
      <c r="H46" s="104">
        <f>+VLOOKUP($B46,[2]OECDimp!$A$2:$M$44,8,0)/1000</f>
        <v>4161.1932500000003</v>
      </c>
      <c r="I46" s="104">
        <f t="shared" si="25"/>
        <v>3974.111036707463</v>
      </c>
      <c r="J46" s="88">
        <f>IFERROR(VLOOKUP(B46,'[2]Eurostat personel cost'!$A$14:$D$43,4,0)*H46,'Table U1'!O46/VLOOKUP('Table U1'!B46,'[2]Table II.F 1'!A:I,9,0))</f>
        <v>187.0822132925372</v>
      </c>
      <c r="K46" s="247">
        <f t="shared" si="17"/>
        <v>2923.3314999999998</v>
      </c>
      <c r="L46" s="105">
        <f>+VLOOKUP($B46,[2]OECDimp!$A$2:$M$44,2,0)/1000</f>
        <v>2923.3314999999998</v>
      </c>
      <c r="M46" s="87">
        <f t="shared" si="26"/>
        <v>0</v>
      </c>
      <c r="N46" s="90">
        <f t="shared" si="27"/>
        <v>169.88460746841523</v>
      </c>
      <c r="O46" s="88">
        <f t="shared" si="28"/>
        <v>169.88460746841523</v>
      </c>
      <c r="P46" s="106">
        <f>+TableB10!F47/1000-IFERROR(VLOOKUP('Table U1'!A46,'[2]fdiinterest_net (2)'!A:D,3,0)/1000000000,0)-T46</f>
        <v>138.63755104663576</v>
      </c>
      <c r="Q46" s="88">
        <f>+IFERROR(VLOOKUP(B46,'[2]SPE FDI income'!A:H,7,0)-VLOOKUP(B46,'[2]SPE FDI income'!A:H,8,0),0)/1000</f>
        <v>0</v>
      </c>
      <c r="R46" s="88">
        <f>+(+TableB10!K47+TableB10!N47)/1000</f>
        <v>0</v>
      </c>
      <c r="S46" s="88">
        <f t="shared" ref="S46:S51" si="31">+(P46)*(G46/(1-G46))+1%*R46</f>
        <v>31.247056421779455</v>
      </c>
      <c r="T46" s="245">
        <f>+TableB10!F47*($T$45+$T$47+$T$49+$T$50+$T$51)/($P$45+$P$47+$P$49+$P$50+$P$51)/1000</f>
        <v>3.7791627100710024</v>
      </c>
      <c r="U46" s="142"/>
      <c r="V46" s="89">
        <f t="shared" si="29"/>
        <v>2753.4468925315846</v>
      </c>
      <c r="W46" s="112">
        <f t="shared" si="24"/>
        <v>2753.4468925315846</v>
      </c>
      <c r="X46" s="500">
        <f t="shared" si="9"/>
        <v>0.18393106289861413</v>
      </c>
      <c r="Y46" s="108">
        <f t="shared" si="18"/>
        <v>0.70252240748492023</v>
      </c>
      <c r="Z46" s="109">
        <f t="shared" si="19"/>
        <v>0.70252240748492023</v>
      </c>
      <c r="AA46" s="109">
        <f t="shared" si="20"/>
        <v>0.6928459892285258</v>
      </c>
      <c r="AB46" s="102">
        <f t="shared" si="21"/>
        <v>0.90807460783441563</v>
      </c>
      <c r="AC46" s="110">
        <f>+IFERROR(VLOOKUP(B46,'[2]Table II.F 1'!A:I,9,0),"")</f>
        <v>0.90807460783441563</v>
      </c>
      <c r="AD46" s="111">
        <f t="shared" si="30"/>
        <v>40.265446332685222</v>
      </c>
      <c r="AF46" s="37">
        <f>+N46-'[2]Table U2'!H47</f>
        <v>3.0936156928358685</v>
      </c>
    </row>
    <row r="47" spans="1:38" x14ac:dyDescent="0.35">
      <c r="A47" s="1" t="str">
        <f>+VLOOKUP(B47,[7]Sheet1!$A$1:$C$65536,3,0)</f>
        <v>COL</v>
      </c>
      <c r="B47" s="99" t="s">
        <v>71</v>
      </c>
      <c r="C47" s="83">
        <f>+[2]GDPgrowth!H42</f>
        <v>323.10954332</v>
      </c>
      <c r="D47" s="84">
        <f>+'[2]Table U2'!C48</f>
        <v>16.464157666366908</v>
      </c>
      <c r="E47" s="101">
        <f t="shared" si="2"/>
        <v>0.26594747198158003</v>
      </c>
      <c r="F47" s="102">
        <f>IFERROR(VLOOKUP(B47,'[2]CBC- IRS'!A:N,14,0),"")</f>
        <v>0.56246179607747382</v>
      </c>
      <c r="G47" s="103">
        <f t="shared" si="15"/>
        <v>0.26594747198158003</v>
      </c>
      <c r="H47" s="104">
        <f>+VLOOKUP($B47,[2]OECDimp!$A$2:$M$44,8,0)/1000</f>
        <v>68.378398439999998</v>
      </c>
      <c r="I47" s="104">
        <f t="shared" si="25"/>
        <v>41.777854315701418</v>
      </c>
      <c r="J47" s="88">
        <f>IFERROR(VLOOKUP(B47,'[2]Eurostat personel cost'!$A$14:$D$43,4,0)*H47,'Table U1'!O47/VLOOKUP('Table U1'!B47,'[2]Table II.F 1'!A:I,9,0))</f>
        <v>26.600544124298576</v>
      </c>
      <c r="K47" s="247">
        <f t="shared" si="17"/>
        <v>61.907554689999998</v>
      </c>
      <c r="L47" s="105">
        <f>+VLOOKUP($B47,[2]OECDimp!$A$2:$M$44,2,0)/1000</f>
        <v>61.907554689999998</v>
      </c>
      <c r="M47" s="87">
        <f t="shared" si="26"/>
        <v>0</v>
      </c>
      <c r="N47" s="90">
        <f t="shared" si="27"/>
        <v>13.135948221621049</v>
      </c>
      <c r="O47" s="88">
        <f t="shared" si="28"/>
        <v>13.135948221621049</v>
      </c>
      <c r="P47" s="106">
        <f>+TableB10!F48/1000-IFERROR(VLOOKUP('Table U1'!A47,'[2]fdiinterest_net (2)'!A:D,3,0)/1000000000,0)</f>
        <v>9.6424760000000003</v>
      </c>
      <c r="Q47" s="88">
        <f>+IFERROR(VLOOKUP(B47,'[2]SPE FDI income'!A:H,7,0)-VLOOKUP(B47,'[2]SPE FDI income'!A:H,8,0),0)/1000</f>
        <v>0</v>
      </c>
      <c r="R47" s="88">
        <f>+(+TableB10!K48+TableB10!N48)/1000</f>
        <v>0</v>
      </c>
      <c r="S47" s="88">
        <f t="shared" si="31"/>
        <v>3.4934722216210501</v>
      </c>
      <c r="T47" s="245">
        <f>+IFERROR(VLOOKUP('Table U1'!A47,'[2]fdiinterest_net (2)'!A:D,3,0),0)/1000000000</f>
        <v>0.14196400000000001</v>
      </c>
      <c r="U47" s="142"/>
      <c r="V47" s="89">
        <f t="shared" si="29"/>
        <v>48.771606468378948</v>
      </c>
      <c r="W47" s="112">
        <f t="shared" si="24"/>
        <v>48.771606468378948</v>
      </c>
      <c r="X47" s="500">
        <f t="shared" si="9"/>
        <v>0.26594747198158003</v>
      </c>
      <c r="Y47" s="108">
        <f t="shared" si="18"/>
        <v>0.90536713497789845</v>
      </c>
      <c r="Z47" s="109">
        <f t="shared" si="19"/>
        <v>0.90536713497789845</v>
      </c>
      <c r="AA47" s="109">
        <f t="shared" si="20"/>
        <v>1.1674033352653312</v>
      </c>
      <c r="AB47" s="102">
        <f t="shared" si="21"/>
        <v>0.4938225383751404</v>
      </c>
      <c r="AC47" s="110">
        <f>+IFERROR(VLOOKUP(B47,'[2]Table II.F 1'!A:I,9,0),"")</f>
        <v>0.4938225383751404</v>
      </c>
      <c r="AD47" s="111">
        <f t="shared" si="30"/>
        <v>-17.917615708957719</v>
      </c>
      <c r="AF47" s="37">
        <f>+N47-'[2]Table U2'!H48</f>
        <v>6.6020254182093572</v>
      </c>
    </row>
    <row r="48" spans="1:38" x14ac:dyDescent="0.35">
      <c r="A48" s="1" t="str">
        <f>+VLOOKUP(B48,[7]Sheet1!$A$1:$C$65536,3,0)</f>
        <v>CRI</v>
      </c>
      <c r="B48" s="99" t="s">
        <v>72</v>
      </c>
      <c r="C48" s="83">
        <f>+[2]GDPgrowth!H43</f>
        <v>64.417670080000008</v>
      </c>
      <c r="D48" s="84">
        <f>+VLOOKUP($A48,[2]globaltaxrev!A:B,2,0)</f>
        <v>1.8016300000000001</v>
      </c>
      <c r="E48" s="101">
        <f t="shared" si="2"/>
        <v>0.12430797794972714</v>
      </c>
      <c r="F48" s="102">
        <f>IFERROR(VLOOKUP(B48,'[2]CBC- IRS'!A:N,14,0),"")</f>
        <v>8.5060841706697726E-2</v>
      </c>
      <c r="G48" s="103">
        <f t="shared" si="15"/>
        <v>8.5060841706697726E-2</v>
      </c>
      <c r="H48" s="104">
        <f>+VLOOKUP($B48,[2]OECDimp!$A$2:$M$44,8,0)/1000</f>
        <v>16.952833980000001</v>
      </c>
      <c r="I48" s="104">
        <f t="shared" si="25"/>
        <v>11.442847664372263</v>
      </c>
      <c r="J48" s="88">
        <f>IFERROR(VLOOKUP(B48,'[2]Eurostat personel cost'!$A$14:$D$43,4,0)*H48,'Table U1'!O48/VLOOKUP('Table U1'!B48,'[2]Table II.F 1'!A:I,9,0))</f>
        <v>5.5099863156277387</v>
      </c>
      <c r="K48" s="247">
        <f t="shared" si="17"/>
        <v>14.493277340000001</v>
      </c>
      <c r="L48" s="105">
        <f>+VLOOKUP($B48,[2]OECDimp!$A$2:$M$44,2,0)/1000</f>
        <v>14.493277340000001</v>
      </c>
      <c r="M48" s="87">
        <f t="shared" si="26"/>
        <v>0</v>
      </c>
      <c r="N48" s="90">
        <f t="shared" si="27"/>
        <v>3.167183145351959</v>
      </c>
      <c r="O48" s="88">
        <f t="shared" si="28"/>
        <v>3.167183145351959</v>
      </c>
      <c r="P48" s="106">
        <f>+TableB10!F49/1000-IFERROR(VLOOKUP('Table U1'!A48,'[2]fdiinterest_net (2)'!A:D,3,0)/1000000000,0)-T48</f>
        <v>2.8977798811690549</v>
      </c>
      <c r="Q48" s="88">
        <f>+IFERROR(VLOOKUP(B48,'[2]SPE FDI income'!A:H,7,0)-VLOOKUP(B48,'[2]SPE FDI income'!A:H,8,0),0)/1000</f>
        <v>0</v>
      </c>
      <c r="R48" s="88">
        <f>+(+TableB10!K49+TableB10!N49)/1000</f>
        <v>0</v>
      </c>
      <c r="S48" s="88">
        <f t="shared" si="31"/>
        <v>0.269403264182904</v>
      </c>
      <c r="T48" s="245">
        <f>+TableB10!F49*($T$45+$T$47+$T$49+$T$50+$T$51)/($P$45+$P$47+$P$49+$P$50+$P$51)/1000</f>
        <v>8.0243118830945051E-2</v>
      </c>
      <c r="U48" s="142"/>
      <c r="V48" s="89">
        <f t="shared" si="29"/>
        <v>11.326094194648041</v>
      </c>
      <c r="W48" s="112">
        <f t="shared" si="24"/>
        <v>11.326094194648041</v>
      </c>
      <c r="X48" s="500">
        <f t="shared" si="9"/>
        <v>0.12430797794972714</v>
      </c>
      <c r="Y48" s="108">
        <f t="shared" si="18"/>
        <v>0.85491767082119441</v>
      </c>
      <c r="Z48" s="109">
        <f t="shared" si="19"/>
        <v>0.85491767082119441</v>
      </c>
      <c r="AA48" s="109">
        <f t="shared" si="20"/>
        <v>0.98979681691579813</v>
      </c>
      <c r="AB48" s="102">
        <f t="shared" si="21"/>
        <v>0.57480780603193382</v>
      </c>
      <c r="AC48" s="110">
        <f>+IFERROR(VLOOKUP(B48,'[2]Table II.F 1'!A:I,9,0),"")</f>
        <v>0.57480780603193382</v>
      </c>
      <c r="AD48" s="111">
        <f t="shared" si="30"/>
        <v>-2.2865837711059829</v>
      </c>
      <c r="AF48" s="37">
        <f>+N48-'[2]Table U2'!H49</f>
        <v>2.0327763342830356</v>
      </c>
    </row>
    <row r="49" spans="1:37" x14ac:dyDescent="0.35">
      <c r="A49" s="1" t="str">
        <f>+VLOOKUP(B49,[7]Sheet1!$A$1:$C$65536,3,0)</f>
        <v>IND</v>
      </c>
      <c r="B49" s="99" t="s">
        <v>73</v>
      </c>
      <c r="C49" s="83">
        <f>+[2]GDPgrowth!H44</f>
        <v>2831.5522225199998</v>
      </c>
      <c r="D49" s="84">
        <f>+VLOOKUP($A49,[2]globaltaxrev!A:B,2,0)</f>
        <v>90.875349999999997</v>
      </c>
      <c r="E49" s="101">
        <f t="shared" si="2"/>
        <v>0.17365288515044899</v>
      </c>
      <c r="F49" s="102">
        <f>IFERROR(VLOOKUP(B49,'[2]CBC- IRS'!A:N,14,0),"")</f>
        <v>0.48046088959271172</v>
      </c>
      <c r="G49" s="103">
        <f t="shared" si="15"/>
        <v>0.17365288515044899</v>
      </c>
      <c r="H49" s="104">
        <f>+[2]India!C9</f>
        <v>384.46150216048017</v>
      </c>
      <c r="I49" s="104">
        <f t="shared" si="25"/>
        <v>294.26229880512267</v>
      </c>
      <c r="J49" s="88">
        <f>IFERROR(VLOOKUP(B49,'[2]Eurostat personel cost'!$A$14:$D$43,4,0)*H49,'Table U1'!O49/VLOOKUP('Table U1'!B49,'[2]Table II.F 1'!A:I,9,0))</f>
        <v>90.199203355357497</v>
      </c>
      <c r="K49" s="247">
        <f t="shared" si="17"/>
        <v>523.31609648332426</v>
      </c>
      <c r="L49" s="87">
        <f>+[2]India!C13</f>
        <v>523.31609648332426</v>
      </c>
      <c r="M49" s="87">
        <f t="shared" si="26"/>
        <v>0</v>
      </c>
      <c r="N49" s="90">
        <f t="shared" si="27"/>
        <v>26.941652268487637</v>
      </c>
      <c r="O49" s="88">
        <f t="shared" si="28"/>
        <v>26.941652268487637</v>
      </c>
      <c r="P49" s="106">
        <f>+TableB10!F50/1000-IFERROR(VLOOKUP('Table U1'!A49,'[2]fdiinterest_net (2)'!A:D,3,0)/1000000000,0)</f>
        <v>22.263156621344621</v>
      </c>
      <c r="Q49" s="88">
        <f>+IFERROR(VLOOKUP(B49,'[2]SPE FDI income'!A:H,7,0)-VLOOKUP(B49,'[2]SPE FDI income'!A:H,8,0),0)/1000</f>
        <v>0</v>
      </c>
      <c r="R49" s="88">
        <f>+(+TableB10!K50+TableB10!N50)/1000</f>
        <v>0</v>
      </c>
      <c r="S49" s="88">
        <f t="shared" si="31"/>
        <v>4.6784956471430172</v>
      </c>
      <c r="T49" s="245">
        <f>+IFERROR(VLOOKUP('Table U1'!A49,'[2]fdiinterest_net (2)'!A:D,3,0),0)/1000000000</f>
        <v>5.0843378655380002E-2</v>
      </c>
      <c r="U49" s="142"/>
      <c r="V49" s="89">
        <f t="shared" si="29"/>
        <v>496.37444421483661</v>
      </c>
      <c r="W49" s="112">
        <f t="shared" si="24"/>
        <v>496.37444421483661</v>
      </c>
      <c r="X49" s="500">
        <f t="shared" si="9"/>
        <v>0.17365288515044899</v>
      </c>
      <c r="Y49" s="108">
        <f t="shared" si="18"/>
        <v>1.3611664459056398</v>
      </c>
      <c r="Z49" s="109">
        <f t="shared" si="19"/>
        <v>1.3611664459056398</v>
      </c>
      <c r="AA49" s="109">
        <f t="shared" si="20"/>
        <v>1.6868434938162573</v>
      </c>
      <c r="AB49" s="102">
        <f t="shared" si="21"/>
        <v>0.29869057892169737</v>
      </c>
      <c r="AC49" s="110">
        <f>+IFERROR(VLOOKUP(B49,'[2]Table II.F 1'!A:I,9,0),"")</f>
        <v>0.29869057892169737</v>
      </c>
      <c r="AD49" s="111">
        <f t="shared" si="30"/>
        <v>-125.21028705890669</v>
      </c>
      <c r="AF49" s="37">
        <f>+N49-'[2]Table U2'!H50</f>
        <v>18.840669256260696</v>
      </c>
    </row>
    <row r="50" spans="1:37" x14ac:dyDescent="0.35">
      <c r="A50" s="1" t="s">
        <v>321</v>
      </c>
      <c r="B50" s="99" t="s">
        <v>74</v>
      </c>
      <c r="C50" s="83">
        <f>+[2]GDPgrowth!H45</f>
        <v>1693.11390426</v>
      </c>
      <c r="D50" s="84">
        <f>+VLOOKUP($A50,[2]globaltaxrev!A:B,2,0)</f>
        <v>70.846710000000002</v>
      </c>
      <c r="E50" s="101">
        <f t="shared" si="2"/>
        <v>0.18984848931466469</v>
      </c>
      <c r="F50" s="102">
        <f>IFERROR(VLOOKUP(B50,'[2]CBC- IRS'!A:N,14,0),"")</f>
        <v>0.26891889447436745</v>
      </c>
      <c r="G50" s="103">
        <f t="shared" si="15"/>
        <v>0.18984848931466469</v>
      </c>
      <c r="H50" s="104">
        <f>+VLOOKUP($B50,[2]OECDimp!$A$2:$M$44,8,0)/1000</f>
        <v>553.69043750000003</v>
      </c>
      <c r="I50" s="104">
        <f t="shared" si="25"/>
        <v>420.06228504333808</v>
      </c>
      <c r="J50" s="88">
        <f>IFERROR(VLOOKUP(B50,'[2]Eurostat personel cost'!$A$14:$D$43,4,0)*H50,'Table U1'!O50/VLOOKUP('Table U1'!B50,'[2]Table II.F 1'!A:I,9,0))</f>
        <v>133.62815245666192</v>
      </c>
      <c r="K50" s="247">
        <f t="shared" si="17"/>
        <v>373.17500000000001</v>
      </c>
      <c r="L50" s="105">
        <f>+VLOOKUP($B50,[2]OECDimp!$A$2:$M$44,2,0)/1000</f>
        <v>373.17500000000001</v>
      </c>
      <c r="M50" s="87">
        <f t="shared" si="26"/>
        <v>0</v>
      </c>
      <c r="N50" s="90">
        <f t="shared" si="27"/>
        <v>83.4736701815103</v>
      </c>
      <c r="O50" s="88">
        <f t="shared" si="28"/>
        <v>83.4736701815103</v>
      </c>
      <c r="P50" s="106">
        <f>+TableB10!F51/1000-IFERROR(VLOOKUP('Table U1'!A50,'[2]fdiinterest_net (2)'!A:D,3,0)/1000000000,0)</f>
        <v>67.626319999999993</v>
      </c>
      <c r="Q50" s="88">
        <f>+IFERROR(VLOOKUP(B50,'[2]SPE FDI income'!A:H,7,0)-VLOOKUP(B50,'[2]SPE FDI income'!A:H,8,0),0)/1000</f>
        <v>0</v>
      </c>
      <c r="R50" s="88">
        <f>+(+TableB10!K51+TableB10!N51)/1000</f>
        <v>0</v>
      </c>
      <c r="S50" s="88">
        <f t="shared" si="31"/>
        <v>15.847350181510302</v>
      </c>
      <c r="T50" s="245">
        <f>+IFERROR(VLOOKUP('Table U1'!A50,'[2]fdiinterest_net (2)'!A:D,3,0),0)/1000000000</f>
        <v>3.3816799999999998</v>
      </c>
      <c r="U50" s="142"/>
      <c r="V50" s="89">
        <f t="shared" si="29"/>
        <v>289.70132981848974</v>
      </c>
      <c r="W50" s="112">
        <f t="shared" si="24"/>
        <v>289.70132981848974</v>
      </c>
      <c r="X50" s="500">
        <f t="shared" si="9"/>
        <v>0.18984848931466469</v>
      </c>
      <c r="Y50" s="108">
        <f t="shared" si="18"/>
        <v>0.67397768631321175</v>
      </c>
      <c r="Z50" s="109">
        <f t="shared" si="19"/>
        <v>0.67397768631321175</v>
      </c>
      <c r="AA50" s="109">
        <f t="shared" si="20"/>
        <v>0.68966279557471122</v>
      </c>
      <c r="AB50" s="102">
        <f t="shared" si="21"/>
        <v>0.62467128854888831</v>
      </c>
      <c r="AC50" s="110">
        <f>+IFERROR(VLOOKUP(B50,'[2]Table II.F 1'!A:I,9,0),"")</f>
        <v>0.62467128854888831</v>
      </c>
      <c r="AD50" s="111">
        <f t="shared" si="30"/>
        <v>-8.6846950092348774</v>
      </c>
      <c r="AF50" s="37">
        <f>+N50-'[2]Table U2'!H51</f>
        <v>45.638771202644364</v>
      </c>
    </row>
    <row r="51" spans="1:37" x14ac:dyDescent="0.35">
      <c r="A51" s="1" t="str">
        <f>+VLOOKUP(B51,[7]Sheet1!$A$1:$C$65536,3,0)</f>
        <v>ZAF</v>
      </c>
      <c r="B51" s="99" t="s">
        <v>76</v>
      </c>
      <c r="C51" s="83">
        <f>+[2]GDPgrowth!H46</f>
        <v>387.93457410000002</v>
      </c>
      <c r="D51" s="84">
        <f>+VLOOKUP($A51,[2]globaltaxrev!A:B,2,0)</f>
        <v>16.853870000000001</v>
      </c>
      <c r="E51" s="101">
        <f t="shared" si="2"/>
        <v>0.25828668387974801</v>
      </c>
      <c r="F51" s="102">
        <f>IFERROR(VLOOKUP(B51,'[2]CBC- IRS'!A:N,14,0),"")</f>
        <v>0.21343138634060246</v>
      </c>
      <c r="G51" s="103">
        <f t="shared" si="15"/>
        <v>0.21343138634060246</v>
      </c>
      <c r="H51" s="104">
        <f>+VLOOKUP($B51,[2]OECDimp!$A$2:$M$44,8,0)/1000</f>
        <v>103.88321094</v>
      </c>
      <c r="I51" s="104">
        <f t="shared" si="25"/>
        <v>79.895212393799071</v>
      </c>
      <c r="J51" s="88">
        <f>IFERROR(VLOOKUP(B51,'[2]Eurostat personel cost'!$A$14:$D$43,4,0)*H51,'Table U1'!O51/VLOOKUP('Table U1'!B51,'[2]Table II.F 1'!A:I,9,0))</f>
        <v>23.987998546200927</v>
      </c>
      <c r="K51" s="247">
        <f t="shared" si="17"/>
        <v>65.252570309999996</v>
      </c>
      <c r="L51" s="105">
        <f>+VLOOKUP($B51,[2]OECDimp!$A$2:$M$44,2,0)/1000</f>
        <v>65.252570309999996</v>
      </c>
      <c r="M51" s="87">
        <f t="shared" si="26"/>
        <v>0</v>
      </c>
      <c r="N51" s="90">
        <f t="shared" si="27"/>
        <v>7.7485547912278854</v>
      </c>
      <c r="O51" s="88">
        <f t="shared" si="28"/>
        <v>7.7485547912278854</v>
      </c>
      <c r="P51" s="106">
        <f>+TableB10!F52/1000-IFERROR(VLOOKUP('Table U1'!A51,'[2]fdiinterest_net (2)'!A:D,3,0)/1000000000,0)</f>
        <v>6.0947700000000005</v>
      </c>
      <c r="Q51" s="88">
        <f>+IFERROR(VLOOKUP(B51,'[2]SPE FDI income'!A:H,7,0)-VLOOKUP(B51,'[2]SPE FDI income'!A:H,8,0),0)/1000</f>
        <v>0</v>
      </c>
      <c r="R51" s="88">
        <f>+(+TableB10!K52+TableB10!N52)/1000</f>
        <v>0</v>
      </c>
      <c r="S51" s="88">
        <f t="shared" si="31"/>
        <v>1.6537847912278851</v>
      </c>
      <c r="T51" s="245">
        <f>+IFERROR(VLOOKUP('Table U1'!A51,'[2]fdiinterest_net (2)'!A:D,3,0),0)/1000000000</f>
        <v>0.52032999999999996</v>
      </c>
      <c r="U51" s="142"/>
      <c r="V51" s="89">
        <f t="shared" si="29"/>
        <v>57.504015518772107</v>
      </c>
      <c r="W51" s="112">
        <f t="shared" si="24"/>
        <v>57.504015518772107</v>
      </c>
      <c r="X51" s="500">
        <f t="shared" si="9"/>
        <v>0.25828668387974801</v>
      </c>
      <c r="Y51" s="108">
        <f t="shared" si="18"/>
        <v>0.62813393732783285</v>
      </c>
      <c r="Z51" s="109">
        <f t="shared" si="19"/>
        <v>0.62813393732783285</v>
      </c>
      <c r="AA51" s="109">
        <f t="shared" si="20"/>
        <v>0.7197429457392015</v>
      </c>
      <c r="AB51" s="102">
        <f t="shared" si="21"/>
        <v>0.32301797819039196</v>
      </c>
      <c r="AC51" s="110">
        <f>+IFERROR(VLOOKUP(B51,'[2]Table II.F 1'!A:I,9,0),"")</f>
        <v>0.32301797819039196</v>
      </c>
      <c r="AD51" s="111">
        <f t="shared" si="30"/>
        <v>-9.5166379448024525</v>
      </c>
      <c r="AF51" s="37">
        <f>+N51-'[2]Table U2'!H52</f>
        <v>-0.62951375847159952</v>
      </c>
    </row>
    <row r="52" spans="1:37" s="115" customFormat="1" ht="40" customHeight="1" x14ac:dyDescent="0.35">
      <c r="A52" s="114"/>
      <c r="B52" s="76" t="s">
        <v>77</v>
      </c>
      <c r="C52" s="113">
        <f t="shared" ref="C52:M52" si="32">SUM(C53:C88)</f>
        <v>1195.2797658200002</v>
      </c>
      <c r="D52" s="113">
        <f t="shared" si="32"/>
        <v>37.7308209251376</v>
      </c>
      <c r="E52" s="143"/>
      <c r="F52" s="144" t="str">
        <f>IFERROR(VLOOKUP(B52,'[2]CBC- IRS'!A:N,14,0),"")</f>
        <v/>
      </c>
      <c r="G52" s="137">
        <f t="shared" si="15"/>
        <v>0</v>
      </c>
      <c r="H52" s="86">
        <f t="shared" si="32"/>
        <v>330.3210953395419</v>
      </c>
      <c r="I52" s="86">
        <f t="shared" si="32"/>
        <v>169.15878857656435</v>
      </c>
      <c r="J52" s="145">
        <f t="shared" si="32"/>
        <v>161.16230676297761</v>
      </c>
      <c r="K52" s="134">
        <f t="shared" si="32"/>
        <v>907.84971614297581</v>
      </c>
      <c r="L52" s="86">
        <f t="shared" si="32"/>
        <v>595.99823474922516</v>
      </c>
      <c r="M52" s="145">
        <f t="shared" si="32"/>
        <v>311.85148139375053</v>
      </c>
      <c r="N52" s="90">
        <f>SUM(N53:N88)</f>
        <v>636.91414914748202</v>
      </c>
      <c r="O52" s="86">
        <f t="shared" si="28"/>
        <v>389.63995848207122</v>
      </c>
      <c r="P52" s="86">
        <f>SUM(P53:P88)</f>
        <v>359.30449527976668</v>
      </c>
      <c r="Q52" s="86">
        <f>+IFERROR(VLOOKUP(B52,'[2]SPE FDI income'!A:H,7,0)-VLOOKUP(B52,'[2]SPE FDI income'!A:H,8,0),0)/1000</f>
        <v>0</v>
      </c>
      <c r="R52" s="86">
        <f>SUM(R53:R88)</f>
        <v>247.27419066541063</v>
      </c>
      <c r="S52" s="86">
        <f>SUM(S53:S88)</f>
        <v>30.335463202304549</v>
      </c>
      <c r="T52" s="145">
        <f>SUM(T53:T88)</f>
        <v>-2.58764676475091</v>
      </c>
      <c r="U52" s="113">
        <f>+U82</f>
        <v>141.67899614378933</v>
      </c>
      <c r="V52" s="113">
        <f t="shared" si="29"/>
        <v>270.93556699549379</v>
      </c>
      <c r="W52" s="112">
        <f>SUM(W53:W88)</f>
        <v>128.28105998182284</v>
      </c>
      <c r="X52" s="500">
        <f t="shared" si="9"/>
        <v>4.1560646276828747E-2</v>
      </c>
      <c r="Y52" s="139">
        <f t="shared" si="18"/>
        <v>1.8042996440678118</v>
      </c>
      <c r="Z52" s="140">
        <f t="shared" si="19"/>
        <v>2.7483855223045435</v>
      </c>
      <c r="AA52" s="140">
        <f t="shared" si="20"/>
        <v>0.75834700083442896</v>
      </c>
      <c r="AB52" s="136">
        <f t="shared" si="21"/>
        <v>3.9520044229957292</v>
      </c>
      <c r="AC52" s="146" t="str">
        <f>+IFERROR(VLOOKUP(B52,'[2]Table II.F 1'!A:I,9,0),"")</f>
        <v/>
      </c>
      <c r="AD52" s="147">
        <f>SUM(AD53:AD88)</f>
        <v>514.6172088985295</v>
      </c>
      <c r="AF52" s="37">
        <f>+N52-'[2]Table U2'!H53</f>
        <v>245.35945724507286</v>
      </c>
    </row>
    <row r="53" spans="1:37" ht="15.75" customHeight="1" x14ac:dyDescent="0.35">
      <c r="A53" s="1" t="s">
        <v>302</v>
      </c>
      <c r="B53" s="99" t="str">
        <f>+[2]TableA1!A54</f>
        <v>Andorra</v>
      </c>
      <c r="C53" s="83">
        <f>+[2]GDPgrowth!H48</f>
        <v>3.1551493500000003</v>
      </c>
      <c r="D53" s="84">
        <f>5%*L53</f>
        <v>5.9700004370528463E-2</v>
      </c>
      <c r="E53" s="101">
        <f t="shared" ref="E53:E81" si="33">+IFERROR(D53/L53,"")</f>
        <v>0.05</v>
      </c>
      <c r="F53" s="102" t="str">
        <f>IFERROR(VLOOKUP(B53,'[2]CBC- IRS'!A:N,14,0),"")</f>
        <v/>
      </c>
      <c r="G53" s="103">
        <f>+IF(MIN(E53,F53)&gt;0,MIN(E53,F53),MAX(E53,F53,5%))</f>
        <v>0.05</v>
      </c>
      <c r="H53" s="188">
        <f>+'[2]Table U2'!D54</f>
        <v>0.49909599570000002</v>
      </c>
      <c r="I53" s="104">
        <f t="shared" ref="I53:I87" si="34">+H53-J53</f>
        <v>0.29945759742</v>
      </c>
      <c r="J53" s="148">
        <f>IFERROR('Table U1'!O53/VLOOKUP('Table U1'!B53,'[2]Table II.F 1'!A:I,9,0),0.4*H53)</f>
        <v>0.19963839828000002</v>
      </c>
      <c r="K53" s="247">
        <f>+M53+L53</f>
        <v>1.2063110515622739</v>
      </c>
      <c r="L53" s="87">
        <f>+'[2]Table U2'!F54</f>
        <v>1.1940000874105692</v>
      </c>
      <c r="M53" s="87">
        <f>(1+0.01)*MAX(0,(TableB10!K54+TableB10!N54+TableB10!O54-TableB10!T54))/1000</f>
        <v>1.231096415170471E-2</v>
      </c>
      <c r="N53" s="90">
        <f t="shared" ref="N53:N88" si="35">P53+Q53+R53+S53</f>
        <v>3.212407641517047E-3</v>
      </c>
      <c r="O53" s="88">
        <f t="shared" si="28"/>
        <v>3.212407641517047E-3</v>
      </c>
      <c r="P53" s="87">
        <f>MAX(TableB10!V54-IFERROR(VLOOKUP('Table U1'!A45,'[2]fdiinterest_net (2)'!A:D,3,0)/1000000000,0),0)/1000</f>
        <v>3.0892979999999999E-3</v>
      </c>
      <c r="Q53" s="88">
        <f>+IFERROR(VLOOKUP(B53,'[2]SPE FDI income'!A:H,7,0)-VLOOKUP(B53,'[2]SPE FDI income'!A:H,8,0),0)/1000</f>
        <v>0</v>
      </c>
      <c r="R53" s="88">
        <v>0</v>
      </c>
      <c r="S53" s="88">
        <f>+(TableB10!F54*(G53/(1-G53)))/1000+1%*M53</f>
        <v>1.231096415170471E-4</v>
      </c>
      <c r="T53" s="88">
        <f>IFERROR(VLOOKUP('Table U1'!A53,[2]fdiinterest_net!A:B,2,0)/1000000000,0)</f>
        <v>0</v>
      </c>
      <c r="U53" s="142"/>
      <c r="V53" s="89">
        <f t="shared" ref="V53:V88" si="36">+L53+M53-P53-S53</f>
        <v>1.2030986439207569</v>
      </c>
      <c r="W53" s="112">
        <f>MIN(V53,76%*I53)</f>
        <v>0.2275877740392</v>
      </c>
      <c r="X53" s="500">
        <f t="shared" si="9"/>
        <v>4.9489726794106674E-2</v>
      </c>
      <c r="Y53" s="108">
        <f t="shared" si="18"/>
        <v>2.3923255199351807</v>
      </c>
      <c r="Z53" s="109">
        <f t="shared" si="19"/>
        <v>2.4169920455289957</v>
      </c>
      <c r="AA53" s="109">
        <f t="shared" si="20"/>
        <v>0.76</v>
      </c>
      <c r="AB53" s="102">
        <f t="shared" si="21"/>
        <v>1.6091131111017679E-2</v>
      </c>
      <c r="AC53" s="110">
        <f>+'[2]Table II.F 1'!I36</f>
        <v>36.001297158113729</v>
      </c>
      <c r="AD53" s="111">
        <f t="shared" ref="AD53:AD62" si="37">+(AB53-AA53)*J53</f>
        <v>-0.14851277505128296</v>
      </c>
      <c r="AF53" s="37">
        <f>+N53-'[2]Table U2'!H54</f>
        <v>-1.0470590865333347</v>
      </c>
      <c r="AI53" s="33" t="s">
        <v>347</v>
      </c>
      <c r="AJ53" s="33" t="str">
        <f>+VLOOKUP('Table U1'!A53,[2]Regions!G:J,4,0)</f>
        <v>Europe</v>
      </c>
      <c r="AK53" s="33" t="str">
        <f>+VLOOKUP(A53,[2]Regions!G:K,5,0)</f>
        <v>Southern Europe</v>
      </c>
    </row>
    <row r="54" spans="1:37" ht="15.75" customHeight="1" x14ac:dyDescent="0.35">
      <c r="A54" s="1" t="str">
        <f>+IFERROR(IFERROR(VLOOKUP(#REF!,[7]Sheet1!$A$1:$C$65536,3,0),VLOOKUP(B54,[7]Sheet1!$A$1:$C$65536,3,0)),VLOOKUP(#REF!,[7]Sheet1!$A$1:$C$65536,3,0))</f>
        <v>AIA</v>
      </c>
      <c r="B54" s="99" t="str">
        <f>+[2]TableA1!A55</f>
        <v>Anguilla</v>
      </c>
      <c r="C54" s="83">
        <f>+[2]GDPgrowth!H49</f>
        <v>0.291932109</v>
      </c>
      <c r="D54" s="84">
        <f>5%*L54</f>
        <v>5.9439536582956941E-3</v>
      </c>
      <c r="E54" s="101">
        <f t="shared" si="33"/>
        <v>0.05</v>
      </c>
      <c r="F54" s="102" t="str">
        <f>IFERROR(VLOOKUP(B54,'[2]CBC- IRS'!A:N,14,0),"")</f>
        <v/>
      </c>
      <c r="G54" s="103">
        <f t="shared" ref="G54:G69" si="38">+IF(MIN(E54,F54)&gt;0,MIN(E54,F54),MAX(E54,F54,5%))</f>
        <v>0.05</v>
      </c>
      <c r="H54" s="188">
        <f>+'[2]Table U2'!D55</f>
        <v>4.9691789387520002E-2</v>
      </c>
      <c r="I54" s="104">
        <f t="shared" si="34"/>
        <v>2.9815073632511999E-2</v>
      </c>
      <c r="J54" s="88">
        <f>IFERROR('Table U1'!O54/VLOOKUP('Table U1'!B54,'[2]Table II.F 1'!A:I,9,0),0.4*H54)</f>
        <v>1.9876715755008004E-2</v>
      </c>
      <c r="K54" s="247">
        <f t="shared" ref="K54:K89" si="39">+M54+L54</f>
        <v>0.11887907316591387</v>
      </c>
      <c r="L54" s="87">
        <f>+'[2]Table U2'!F55</f>
        <v>0.11887907316591387</v>
      </c>
      <c r="M54" s="87">
        <f>(1+0.01)*MAX(0,(TableB10!K55+TableB10!N55+TableB10!O55-TableB10!T55))/1000</f>
        <v>0</v>
      </c>
      <c r="N54" s="90">
        <f t="shared" si="35"/>
        <v>9.6219617205204749E-2</v>
      </c>
      <c r="O54" s="88">
        <f t="shared" si="28"/>
        <v>0</v>
      </c>
      <c r="P54" s="87">
        <f>MAX(TableB10!V55-IFERROR(VLOOKUP('Table U1'!A46,'[2]fdiinterest_net (2)'!A:D,3,0)/1000000000,0),0)/1000</f>
        <v>0</v>
      </c>
      <c r="Q54" s="88">
        <f>+IFERROR(VLOOKUP(B54,'[2]SPE FDI income'!A:H,7,0)-VLOOKUP(B54,'[2]SPE FDI income'!A:H,8,0),0)/1000</f>
        <v>0</v>
      </c>
      <c r="R54" s="88">
        <f t="shared" ref="R54:R81" si="40">+L54+M54-W54-P54-S54</f>
        <v>9.6219617205204749E-2</v>
      </c>
      <c r="S54" s="88">
        <f>+(TableB10!F55*(G54/(1-G54)))/1000+1%*M54</f>
        <v>0</v>
      </c>
      <c r="T54" s="88">
        <f>IFERROR(VLOOKUP('Table U1'!A54,[2]fdiinterest_net!A:B,2,0)/1000000000,0)</f>
        <v>0</v>
      </c>
      <c r="U54" s="142"/>
      <c r="V54" s="89">
        <f t="shared" si="36"/>
        <v>0.11887907316591387</v>
      </c>
      <c r="W54" s="112">
        <f t="shared" ref="W54:W88" si="41">MIN(V54,76%*I54)</f>
        <v>2.2659455960709118E-2</v>
      </c>
      <c r="X54" s="500">
        <f t="shared" si="9"/>
        <v>0.05</v>
      </c>
      <c r="Y54" s="108">
        <f t="shared" si="18"/>
        <v>2.3923282826230872</v>
      </c>
      <c r="Z54" s="109">
        <f t="shared" si="19"/>
        <v>2.3923282826230872</v>
      </c>
      <c r="AA54" s="109">
        <f t="shared" si="20"/>
        <v>0.76</v>
      </c>
      <c r="AB54" s="102">
        <f t="shared" si="21"/>
        <v>4.8408207065577171</v>
      </c>
      <c r="AC54" s="110">
        <f>+'[2]Table II.F 1'!I61</f>
        <v>14.23455684870188</v>
      </c>
      <c r="AD54" s="111">
        <f t="shared" si="37"/>
        <v>8.111331323139867E-2</v>
      </c>
      <c r="AF54" s="37">
        <f>+N54-'[2]Table U2'!H55</f>
        <v>-0.13696180474626435</v>
      </c>
      <c r="AJ54" s="33" t="str">
        <f>+VLOOKUP('Table U1'!A54,[2]Regions!G:J,4,0)</f>
        <v>Americas</v>
      </c>
      <c r="AK54" s="33" t="str">
        <f>+VLOOKUP(A54,[2]Regions!G:K,5,0)</f>
        <v>Latin America and the Caribbean</v>
      </c>
    </row>
    <row r="55" spans="1:37" ht="15.75" customHeight="1" x14ac:dyDescent="0.35">
      <c r="A55" s="1" t="str">
        <f>+IFERROR(IFERROR(VLOOKUP(#REF!,[7]Sheet1!$A$1:$C$65536,3,0),VLOOKUP(B55,[7]Sheet1!$A$1:$C$65536,3,0)),VLOOKUP(#REF!,[7]Sheet1!$A$1:$C$65536,3,0))</f>
        <v>ATG</v>
      </c>
      <c r="B55" s="99" t="str">
        <f>+[2]TableA1!A56</f>
        <v>Antigua and Barbuda</v>
      </c>
      <c r="C55" s="83">
        <f>+[2]GDPgrowth!H50</f>
        <v>1.6875333299999999</v>
      </c>
      <c r="D55" s="84">
        <f>+VLOOKUP($A55,[2]globaltaxrev!A:B,2,0)</f>
        <v>2.9090000000000001E-2</v>
      </c>
      <c r="E55" s="101">
        <f t="shared" si="33"/>
        <v>3.719962248346128E-2</v>
      </c>
      <c r="F55" s="102" t="str">
        <f>IFERROR(VLOOKUP(B55,'[2]CBC- IRS'!A:N,14,0),"")</f>
        <v/>
      </c>
      <c r="G55" s="103">
        <f t="shared" si="38"/>
        <v>3.719962248346128E-2</v>
      </c>
      <c r="H55" s="188">
        <f>+'[2]Table U2'!D56</f>
        <v>9.9006796319999993E-2</v>
      </c>
      <c r="I55" s="104">
        <f t="shared" si="34"/>
        <v>5.9404077791999993E-2</v>
      </c>
      <c r="J55" s="88">
        <f>IFERROR('Table U1'!O55/VLOOKUP('Table U1'!B55,'[2]Table II.F 1'!A:I,9,0),0.4*H55)</f>
        <v>3.9602718528E-2</v>
      </c>
      <c r="K55" s="247">
        <f t="shared" si="39"/>
        <v>0.7819971832491911</v>
      </c>
      <c r="L55" s="87">
        <f>+'[2]Table U2'!F56</f>
        <v>0.7819971832491911</v>
      </c>
      <c r="M55" s="87">
        <f>(1+0.01)*MAX(0,(TableB10!K56+TableB10!N56+TableB10!O56-TableB10!T56))/1000</f>
        <v>0</v>
      </c>
      <c r="N55" s="90">
        <f t="shared" si="35"/>
        <v>0.73685008412727115</v>
      </c>
      <c r="O55" s="88">
        <f t="shared" si="28"/>
        <v>0</v>
      </c>
      <c r="P55" s="87">
        <f>MAX(TableB10!V56-IFERROR(VLOOKUP('Table U1'!A47,'[2]fdiinterest_net (2)'!A:D,3,0)/1000000000,0),0)/1000</f>
        <v>0</v>
      </c>
      <c r="Q55" s="88">
        <f>+IFERROR(VLOOKUP(B55,'[2]SPE FDI income'!A:H,7,0)-VLOOKUP(B55,'[2]SPE FDI income'!A:H,8,0),0)/1000</f>
        <v>0</v>
      </c>
      <c r="R55" s="88">
        <f t="shared" si="40"/>
        <v>0.73685008412727115</v>
      </c>
      <c r="S55" s="88">
        <f>+(TableB10!F56*(G55/(1-G55)))/1000+1%*M55</f>
        <v>0</v>
      </c>
      <c r="T55" s="88">
        <f>IFERROR(VLOOKUP('Table U1'!A55,[2]fdiinterest_net!A:B,2,0)/1000000000,0)</f>
        <v>0</v>
      </c>
      <c r="U55" s="142"/>
      <c r="V55" s="89">
        <f t="shared" si="36"/>
        <v>0.7819971832491911</v>
      </c>
      <c r="W55" s="112">
        <f t="shared" si="41"/>
        <v>4.5147099121919998E-2</v>
      </c>
      <c r="X55" s="500">
        <f t="shared" si="9"/>
        <v>3.719962248346128E-2</v>
      </c>
      <c r="Y55" s="108">
        <f t="shared" si="18"/>
        <v>7.8984192228753365</v>
      </c>
      <c r="Z55" s="109">
        <f t="shared" si="19"/>
        <v>7.8984192228753365</v>
      </c>
      <c r="AA55" s="109">
        <f t="shared" si="20"/>
        <v>0.76</v>
      </c>
      <c r="AB55" s="102">
        <f t="shared" si="21"/>
        <v>18.606048057188342</v>
      </c>
      <c r="AC55" s="110">
        <f>+'[2]Table II.F 1'!$I$62</f>
        <v>0.95014955134596213</v>
      </c>
      <c r="AD55" s="111">
        <f t="shared" si="37"/>
        <v>0.70675201804599108</v>
      </c>
      <c r="AF55" s="37">
        <f>+N55-'[2]Table U2'!H56</f>
        <v>-0.11404213222750037</v>
      </c>
      <c r="AI55" s="33" t="s">
        <v>350</v>
      </c>
      <c r="AJ55" s="33" t="str">
        <f>+VLOOKUP('Table U1'!A55,[2]Regions!G:J,4,0)</f>
        <v>Americas</v>
      </c>
      <c r="AK55" s="33" t="str">
        <f>+VLOOKUP(A55,[2]Regions!G:K,5,0)</f>
        <v>Latin America and the Caribbean</v>
      </c>
    </row>
    <row r="56" spans="1:37" ht="15.75" customHeight="1" x14ac:dyDescent="0.35">
      <c r="A56" s="1" t="str">
        <f>+IFERROR(IFERROR(VLOOKUP(#REF!,[7]Sheet1!$A$1:$C$65536,3,0),VLOOKUP(B56,[7]Sheet1!$A$1:$C$65536,3,0)),VLOOKUP(#REF!,[7]Sheet1!$A$1:$C$65536,3,0))</f>
        <v>ABW</v>
      </c>
      <c r="B56" s="99" t="str">
        <f>+[2]TableA1!A57</f>
        <v>Aruba</v>
      </c>
      <c r="C56" s="83">
        <f>+[2]GDPgrowth!H51</f>
        <v>3.3100558700000002</v>
      </c>
      <c r="D56" s="84">
        <v>0</v>
      </c>
      <c r="E56" s="101">
        <f t="shared" si="33"/>
        <v>0</v>
      </c>
      <c r="F56" s="102">
        <f>IFERROR(VLOOKUP(B56,'[2]CBC- IRS'!A:N,14,0),"")</f>
        <v>0.20544100275238059</v>
      </c>
      <c r="G56" s="103">
        <f t="shared" si="38"/>
        <v>0.20544100275238059</v>
      </c>
      <c r="H56" s="188">
        <f>+'[2]Table U2'!D57</f>
        <v>0.46794344267000004</v>
      </c>
      <c r="I56" s="104">
        <f t="shared" si="34"/>
        <v>0.28076606560200001</v>
      </c>
      <c r="J56" s="88">
        <f>IFERROR('Table U1'!O56/VLOOKUP('Table U1'!B56,'[2]Table II.F 1'!A:I,9,0),0.4*H56)</f>
        <v>0.18717737706800003</v>
      </c>
      <c r="K56" s="247">
        <f t="shared" si="39"/>
        <v>1.1194686492523167</v>
      </c>
      <c r="L56" s="87">
        <f>+'[2]Table U2'!F57</f>
        <v>1.1194686492523167</v>
      </c>
      <c r="M56" s="87">
        <f>(1+0.01)*MAX(0,(TableB10!K57+TableB10!N57+TableB10!O57-TableB10!T57))/1000</f>
        <v>0</v>
      </c>
      <c r="N56" s="90">
        <f t="shared" si="35"/>
        <v>0.90608643939479672</v>
      </c>
      <c r="O56" s="88">
        <f t="shared" si="28"/>
        <v>0</v>
      </c>
      <c r="P56" s="87">
        <f>MAX(TableB10!V57-IFERROR(VLOOKUP('Table U1'!A48,'[2]fdiinterest_net (2)'!A:D,3,0)/1000000000,0),0)/1000</f>
        <v>0</v>
      </c>
      <c r="Q56" s="88">
        <f>+IFERROR(VLOOKUP(B56,'[2]SPE FDI income'!A:H,7,0)-VLOOKUP(B56,'[2]SPE FDI income'!A:H,8,0),0)/1000</f>
        <v>0</v>
      </c>
      <c r="R56" s="88">
        <f t="shared" si="40"/>
        <v>0.90608643939479672</v>
      </c>
      <c r="S56" s="88">
        <f>+(TableB10!F57*(G56/(1-G56)))/1000+1%*M56</f>
        <v>0</v>
      </c>
      <c r="T56" s="88">
        <f>IFERROR(VLOOKUP('Table U1'!A56,[2]fdiinterest_net!A:B,2,0)/1000000000,0)</f>
        <v>0</v>
      </c>
      <c r="U56" s="142"/>
      <c r="V56" s="89">
        <f t="shared" si="36"/>
        <v>1.1194686492523167</v>
      </c>
      <c r="W56" s="112">
        <f t="shared" si="41"/>
        <v>0.21338220985752002</v>
      </c>
      <c r="X56" s="500">
        <f t="shared" si="9"/>
        <v>0</v>
      </c>
      <c r="Y56" s="108">
        <f t="shared" si="18"/>
        <v>2.3923161373195714</v>
      </c>
      <c r="Z56" s="109">
        <f t="shared" si="19"/>
        <v>2.3923161373195714</v>
      </c>
      <c r="AA56" s="109">
        <f t="shared" si="20"/>
        <v>0.76</v>
      </c>
      <c r="AB56" s="102">
        <f t="shared" si="21"/>
        <v>4.8407903432989281</v>
      </c>
      <c r="AC56" s="110">
        <f>+'[2]Table II.F 1'!$I$62</f>
        <v>0.95014955134596213</v>
      </c>
      <c r="AD56" s="111">
        <f t="shared" si="37"/>
        <v>0.76383163282311684</v>
      </c>
      <c r="AF56" s="37">
        <f>+N56-'[2]Table U2'!H57</f>
        <v>-7.862486195592544E-2</v>
      </c>
      <c r="AI56" s="33" t="s">
        <v>348</v>
      </c>
      <c r="AJ56" s="33" t="str">
        <f>+VLOOKUP('Table U1'!A56,[2]Regions!G:J,4,0)</f>
        <v>Americas</v>
      </c>
      <c r="AK56" s="33" t="str">
        <f>+VLOOKUP(A56,[2]Regions!G:K,5,0)</f>
        <v>Latin America and the Caribbean</v>
      </c>
    </row>
    <row r="57" spans="1:37" ht="15.75" customHeight="1" x14ac:dyDescent="0.35">
      <c r="A57" s="1" t="str">
        <f>+IFERROR(IFERROR(VLOOKUP(#REF!,[7]Sheet1!$A$1:$C$65536,3,0),VLOOKUP(B57,[7]Sheet1!$A$1:$C$65536,3,0)),VLOOKUP(#REF!,[7]Sheet1!$A$1:$C$65536,3,0))</f>
        <v>BHS</v>
      </c>
      <c r="B57" s="99" t="str">
        <f>+[2]TableA1!A58</f>
        <v>Bahamas, The</v>
      </c>
      <c r="C57" s="83">
        <f>+[2]GDPgrowth!H52</f>
        <v>13.1928</v>
      </c>
      <c r="D57" s="84">
        <f>+VLOOKUP($A57,[2]globaltaxrev!A:B,2,0)</f>
        <v>0</v>
      </c>
      <c r="E57" s="506">
        <f t="shared" si="33"/>
        <v>0</v>
      </c>
      <c r="F57" s="102" t="str">
        <f>IFERROR(VLOOKUP(B57,'[2]CBC- IRS'!A:N,14,0),"")</f>
        <v/>
      </c>
      <c r="G57" s="103">
        <f>+E57</f>
        <v>0</v>
      </c>
      <c r="H57" s="188">
        <f>+'[2]Table U2'!D58</f>
        <v>0.50913620445999996</v>
      </c>
      <c r="I57" s="104">
        <f t="shared" si="34"/>
        <v>0.30548172267599993</v>
      </c>
      <c r="J57" s="88">
        <f>IFERROR('Table U1'!O57/VLOOKUP('Table U1'!B57,'[2]Table II.F 1'!A:I,9,0),0.4*H57)</f>
        <v>0.203654481784</v>
      </c>
      <c r="K57" s="247">
        <f t="shared" si="39"/>
        <v>21.330781562829465</v>
      </c>
      <c r="L57" s="87">
        <f>+'[2]Table U2'!F58</f>
        <v>6.6319444428918937</v>
      </c>
      <c r="M57" s="87">
        <f>(1+0.01)*MAX(0,(TableB10!K58+TableB10!N58+TableB10!O58-TableB10!T58))/1000</f>
        <v>14.69883711993757</v>
      </c>
      <c r="N57" s="90">
        <f t="shared" si="35"/>
        <v>21.098615453595706</v>
      </c>
      <c r="O57" s="88">
        <f t="shared" si="28"/>
        <v>9.17207123382072</v>
      </c>
      <c r="P57" s="87">
        <f>MAX(TableB10!V58-IFERROR(VLOOKUP('Table U1'!A49,'[2]fdiinterest_net (2)'!A:D,3,0)/1000000000,0),0)/1000</f>
        <v>9.0250828626213444</v>
      </c>
      <c r="Q57" s="88">
        <f>+IFERROR(VLOOKUP(B57,'[2]SPE FDI income'!A:H,7,0)-VLOOKUP(B57,'[2]SPE FDI income'!A:H,8,0),0)/1000</f>
        <v>0</v>
      </c>
      <c r="R57" s="88">
        <f t="shared" si="40"/>
        <v>11.926544219774986</v>
      </c>
      <c r="S57" s="88">
        <f>+(TableB10!F58*(G57/(1-G57)))/1000+1%*M57</f>
        <v>0.14698837119937572</v>
      </c>
      <c r="T57" s="88">
        <f>IFERROR(VLOOKUP('Table U1'!A57,[2]fdiinterest_net!A:B,2,0)/1000000000,0)</f>
        <v>0</v>
      </c>
      <c r="U57" s="142"/>
      <c r="V57" s="89">
        <f t="shared" si="36"/>
        <v>12.158710329008745</v>
      </c>
      <c r="W57" s="112">
        <f t="shared" si="41"/>
        <v>0.23216610923375997</v>
      </c>
      <c r="X57" s="500">
        <f t="shared" si="9"/>
        <v>0</v>
      </c>
      <c r="Y57" s="108">
        <f t="shared" si="18"/>
        <v>13.025874775347917</v>
      </c>
      <c r="Z57" s="109">
        <f t="shared" si="19"/>
        <v>41.896021881714972</v>
      </c>
      <c r="AA57" s="109">
        <f t="shared" si="20"/>
        <v>0.76</v>
      </c>
      <c r="AB57" s="102">
        <f t="shared" si="21"/>
        <v>103.60005470428742</v>
      </c>
      <c r="AC57" s="110">
        <f>+'[2]Table II.F 1'!$I$62</f>
        <v>0.95014955134596213</v>
      </c>
      <c r="AD57" s="111">
        <f t="shared" si="37"/>
        <v>20.943838047439865</v>
      </c>
      <c r="AF57" s="37">
        <f>+N57-'[2]Table U2'!H58</f>
        <v>13.418523788978785</v>
      </c>
      <c r="AI57" s="33" t="s">
        <v>350</v>
      </c>
      <c r="AJ57" s="33" t="str">
        <f>+VLOOKUP('Table U1'!A57,[2]Regions!G:J,4,0)</f>
        <v>Americas</v>
      </c>
      <c r="AK57" s="33" t="str">
        <f>+VLOOKUP(A57,[2]Regions!G:K,5,0)</f>
        <v>Latin America and the Caribbean</v>
      </c>
    </row>
    <row r="58" spans="1:37" ht="15.75" customHeight="1" x14ac:dyDescent="0.35">
      <c r="A58" s="1" t="e">
        <f>+IFERROR(IFERROR(VLOOKUP(#REF!,[7]Sheet1!$A$1:$C$65536,3,0),VLOOKUP(B58,[7]Sheet1!$A$1:$C$65536,3,0)),VLOOKUP(#REF!,[7]Sheet1!$A$1:$C$65536,3,0))</f>
        <v>#REF!</v>
      </c>
      <c r="B58" s="99" t="str">
        <f>+[2]TableA1!A59</f>
        <v>Bahrain</v>
      </c>
      <c r="C58" s="83">
        <f>+[2]GDPgrowth!H53</f>
        <v>32.102630741999995</v>
      </c>
      <c r="D58" s="84">
        <f>F58*L58</f>
        <v>0.53697313116696976</v>
      </c>
      <c r="E58" s="101"/>
      <c r="F58" s="102">
        <f>IFERROR(VLOOKUP(B58,'[2]CBC- IRS'!A:N,14,0),"")</f>
        <v>4.3270983141422657E-2</v>
      </c>
      <c r="G58" s="103">
        <f t="shared" si="38"/>
        <v>4.3270983141422657E-2</v>
      </c>
      <c r="H58" s="188">
        <f>+'[2]Table U2'!D59</f>
        <v>10.440183670202362</v>
      </c>
      <c r="I58" s="104">
        <f t="shared" si="34"/>
        <v>6.264110202121417</v>
      </c>
      <c r="J58" s="88">
        <f>IFERROR('Table U1'!O58/VLOOKUP('Table U1'!B58,'[2]Table II.F 1'!A:I,9,0),0.4*H58)</f>
        <v>4.1760734680809453</v>
      </c>
      <c r="K58" s="247">
        <f t="shared" si="39"/>
        <v>13.241917094005816</v>
      </c>
      <c r="L58" s="87">
        <f>+'[2]Table U2'!F59</f>
        <v>12.409543120663082</v>
      </c>
      <c r="M58" s="87">
        <f>(1+0.01)*MAX(0,(TableB10!K59+TableB10!N59+TableB10!O59-TableB10!T59))/1000</f>
        <v>0.83237397334273378</v>
      </c>
      <c r="N58" s="90">
        <f t="shared" si="35"/>
        <v>8.4811933403935384</v>
      </c>
      <c r="O58" s="88">
        <f t="shared" si="28"/>
        <v>0.53124805973342737</v>
      </c>
      <c r="P58" s="87">
        <f>MAX(TableB10!V59-IFERROR(VLOOKUP('Table U1'!A50,'[2]fdiinterest_net (2)'!A:D,3,0)/1000000000,0),0)/1000</f>
        <v>0.52292432</v>
      </c>
      <c r="Q58" s="88">
        <f>+IFERROR(VLOOKUP(B58,'[2]SPE FDI income'!A:H,7,0)-VLOOKUP(B58,'[2]SPE FDI income'!A:H,8,0),0)/1000</f>
        <v>0</v>
      </c>
      <c r="R58" s="88">
        <f t="shared" si="40"/>
        <v>7.9499452806601116</v>
      </c>
      <c r="S58" s="88">
        <f>+(TableB10!F59*(G58/(1-G58)))/1000+1%*M58</f>
        <v>8.3237397334273381E-3</v>
      </c>
      <c r="T58" s="88">
        <f>IFERROR(VLOOKUP('Table U1'!A58,[2]fdiinterest_net!A:B,2,0)/1000000000,0)</f>
        <v>0</v>
      </c>
      <c r="U58" s="142"/>
      <c r="V58" s="89">
        <f t="shared" si="36"/>
        <v>12.710669034272389</v>
      </c>
      <c r="W58" s="112">
        <f t="shared" si="41"/>
        <v>4.7607237536122771</v>
      </c>
      <c r="X58" s="500">
        <f t="shared" si="9"/>
        <v>4.0551011409823735E-2</v>
      </c>
      <c r="Y58" s="108">
        <f t="shared" si="18"/>
        <v>1.1886326440866675</v>
      </c>
      <c r="Z58" s="109">
        <f t="shared" si="19"/>
        <v>1.2683605492305623</v>
      </c>
      <c r="AA58" s="109">
        <f t="shared" si="20"/>
        <v>0.76</v>
      </c>
      <c r="AB58" s="102">
        <f t="shared" si="21"/>
        <v>2.0309013730764054</v>
      </c>
      <c r="AC58" s="110">
        <f>+'[2]Table II.F 1'!I74</f>
        <v>1.4471608832807572</v>
      </c>
      <c r="AD58" s="111">
        <f t="shared" si="37"/>
        <v>5.3073775046520195</v>
      </c>
      <c r="AF58" s="37">
        <f>+N58-'[2]Table U2'!H59</f>
        <v>-1.7331442557798411</v>
      </c>
      <c r="AI58" s="33" t="s">
        <v>349</v>
      </c>
      <c r="AJ58" s="33" t="e">
        <f>+VLOOKUP('Table U1'!A58,[2]Regions!G:J,4,0)</f>
        <v>#REF!</v>
      </c>
      <c r="AK58" s="33" t="e">
        <f>+VLOOKUP(A58,[2]Regions!G:K,5,0)</f>
        <v>#REF!</v>
      </c>
    </row>
    <row r="59" spans="1:37" ht="15.75" customHeight="1" x14ac:dyDescent="0.35">
      <c r="A59" s="1" t="str">
        <f>+IFERROR(IFERROR(VLOOKUP(#REF!,[7]Sheet1!$A$1:$C$65536,3,0),VLOOKUP(B59,[7]Sheet1!$A$1:$C$65536,3,0)),VLOOKUP(#REF!,[7]Sheet1!$A$1:$C$65536,3,0))</f>
        <v>BRB</v>
      </c>
      <c r="B59" s="99" t="str">
        <f>+[2]TableA1!A60</f>
        <v>Barbados</v>
      </c>
      <c r="C59" s="83">
        <f>+[2]GDPgrowth!H54</f>
        <v>5.3041643199999999</v>
      </c>
      <c r="D59" s="84">
        <f>+VLOOKUP($A59,[2]globaltaxrev!A:B,2,0)</f>
        <v>0.16433</v>
      </c>
      <c r="E59" s="101">
        <f t="shared" si="33"/>
        <v>6.3908602982538185E-2</v>
      </c>
      <c r="F59" s="102">
        <f>IFERROR(VLOOKUP(B59,'[2]CBC- IRS'!A:N,14,0),"")</f>
        <v>1.4241813266146099E-2</v>
      </c>
      <c r="G59" s="103">
        <f t="shared" si="38"/>
        <v>1.4241813266146099E-2</v>
      </c>
      <c r="H59" s="527">
        <f>+'[2]Table U2'!D60</f>
        <v>0.35893383046999994</v>
      </c>
      <c r="I59" s="529">
        <f t="shared" si="34"/>
        <v>0.21536029828199996</v>
      </c>
      <c r="J59" s="528">
        <f>0.4*H59</f>
        <v>0.14357353218799998</v>
      </c>
      <c r="K59" s="247">
        <f t="shared" si="39"/>
        <v>12.070324096584869</v>
      </c>
      <c r="L59" s="87">
        <f>+'[2]Table U2'!F60</f>
        <v>2.5713283084109984</v>
      </c>
      <c r="M59" s="87">
        <f>(1+0.01)*MAX(0,(TableB10!K60+TableB10!N60+TableB10!O60-TableB10!T60))/1000</f>
        <v>9.49899578817387</v>
      </c>
      <c r="N59" s="90">
        <f t="shared" si="35"/>
        <v>11.90665026989055</v>
      </c>
      <c r="O59" s="88">
        <f t="shared" si="28"/>
        <v>5.0894438398817377</v>
      </c>
      <c r="P59" s="87">
        <f>MAX(TableB10!V60-IFERROR(VLOOKUP('Table U1'!A51,'[2]fdiinterest_net (2)'!A:D,3,0)/1000000000,0),0)/1000</f>
        <v>4.9944538819999993</v>
      </c>
      <c r="Q59" s="88">
        <f>+IFERROR(VLOOKUP(B59,'[2]SPE FDI income'!A:H,7,0)-VLOOKUP(B59,'[2]SPE FDI income'!A:H,8,0),0)/1000</f>
        <v>0</v>
      </c>
      <c r="R59" s="88">
        <f t="shared" si="40"/>
        <v>6.8172064300088122</v>
      </c>
      <c r="S59" s="88">
        <f>+(TableB10!F60*(G59/(1-G59)))/1000+1%*M59</f>
        <v>9.4989957881738696E-2</v>
      </c>
      <c r="T59" s="88">
        <f>IFERROR(VLOOKUP('Table U1'!A59,[2]fdiinterest_net!A:B,2,0)/1000000000,0)</f>
        <v>0</v>
      </c>
      <c r="U59" s="142"/>
      <c r="V59" s="89">
        <f t="shared" si="36"/>
        <v>6.9808802567031316</v>
      </c>
      <c r="W59" s="112">
        <f t="shared" si="41"/>
        <v>0.16367382669431996</v>
      </c>
      <c r="X59" s="500">
        <f t="shared" si="9"/>
        <v>1.3614381741952968E-2</v>
      </c>
      <c r="Y59" s="108">
        <f t="shared" si="18"/>
        <v>7.1637948004065688</v>
      </c>
      <c r="Z59" s="109">
        <f t="shared" si="19"/>
        <v>33.628270928877292</v>
      </c>
      <c r="AA59" s="109">
        <f t="shared" si="20"/>
        <v>0.76</v>
      </c>
      <c r="AB59" s="102">
        <f t="shared" si="21"/>
        <v>82.930677322193233</v>
      </c>
      <c r="AC59" s="110">
        <f>+IFERROR(VLOOKUP(B59,'[2]Table II.F 1'!A:I,9,0),"")</f>
        <v>212.80555555555554</v>
      </c>
      <c r="AD59" s="111">
        <f t="shared" si="37"/>
        <v>11.797534385427669</v>
      </c>
      <c r="AF59" s="37">
        <f>+N59-'[2]Table U2'!H60</f>
        <v>7.022683939550241</v>
      </c>
      <c r="AJ59" s="33" t="str">
        <f>+VLOOKUP('Table U1'!A59,[2]Regions!G:J,4,0)</f>
        <v>Americas</v>
      </c>
      <c r="AK59" s="33" t="str">
        <f>+VLOOKUP(A59,[2]Regions!G:K,5,0)</f>
        <v>Latin America and the Caribbean</v>
      </c>
    </row>
    <row r="60" spans="1:37" ht="15.75" customHeight="1" x14ac:dyDescent="0.35">
      <c r="A60" s="1" t="str">
        <f>+IFERROR(IFERROR(VLOOKUP(#REF!,[7]Sheet1!$A$1:$C$65536,3,0),VLOOKUP(B60,[7]Sheet1!$A$1:$C$65536,3,0)),VLOOKUP(#REF!,[7]Sheet1!$A$1:$C$65536,3,0))</f>
        <v>BLZ</v>
      </c>
      <c r="B60" s="99" t="str">
        <f>+[2]TableA1!A61</f>
        <v>Belize</v>
      </c>
      <c r="C60" s="83">
        <f>+[2]GDPgrowth!H55</f>
        <v>1.94525024</v>
      </c>
      <c r="D60" s="84">
        <f>+VLOOKUP($A60,[2]globaltaxrev!A:B,2,0)</f>
        <v>2.1420000000000002E-2</v>
      </c>
      <c r="E60" s="101">
        <f t="shared" si="33"/>
        <v>2.2192274214690461E-2</v>
      </c>
      <c r="F60" s="102" t="str">
        <f>IFERROR(VLOOKUP(B60,'[2]CBC- IRS'!A:N,14,0),"")</f>
        <v/>
      </c>
      <c r="G60" s="103">
        <f t="shared" si="38"/>
        <v>2.2192274214690461E-2</v>
      </c>
      <c r="H60" s="188">
        <f>+'[2]Table U2'!D61</f>
        <v>0.13799589551999999</v>
      </c>
      <c r="I60" s="104">
        <f t="shared" si="34"/>
        <v>8.2797537311999986E-2</v>
      </c>
      <c r="J60" s="88">
        <f>IFERROR('Table U1'!O60/VLOOKUP('Table U1'!B60,'[2]Table II.F 1'!A:I,9,0),0.4*H60)</f>
        <v>5.5198358208000002E-2</v>
      </c>
      <c r="K60" s="247">
        <f t="shared" si="39"/>
        <v>0.98429043070781619</v>
      </c>
      <c r="L60" s="87">
        <f>+'[2]Table U2'!F61</f>
        <v>0.96520076278711253</v>
      </c>
      <c r="M60" s="87">
        <f>(1+0.01)*MAX(0,(TableB10!K61+TableB10!N61+TableB10!O61-TableB10!T61))/1000</f>
        <v>1.9089667920703709E-2</v>
      </c>
      <c r="N60" s="90">
        <f t="shared" si="35"/>
        <v>0.92136430235069622</v>
      </c>
      <c r="O60" s="88">
        <f t="shared" si="28"/>
        <v>1.1579374379207037E-2</v>
      </c>
      <c r="P60" s="87">
        <f>MAX(TableB10!V61-IFERROR(VLOOKUP('Table U1'!A52,'[2]fdiinterest_net (2)'!A:D,3,0)/1000000000,0),0)/1000</f>
        <v>1.13884777E-2</v>
      </c>
      <c r="Q60" s="88">
        <f>+IFERROR(VLOOKUP(B60,'[2]SPE FDI income'!A:H,7,0)-VLOOKUP(B60,'[2]SPE FDI income'!A:H,8,0),0)/1000</f>
        <v>0</v>
      </c>
      <c r="R60" s="88">
        <f t="shared" si="40"/>
        <v>0.90978492797148924</v>
      </c>
      <c r="S60" s="88">
        <f>+(TableB10!F61*(G60/(1-G60)))/1000+1%*M60</f>
        <v>1.908966792070371E-4</v>
      </c>
      <c r="T60" s="88">
        <f>IFERROR(VLOOKUP('Table U1'!A60,[2]fdiinterest_net!A:B,2,0)/1000000000,0)</f>
        <v>0</v>
      </c>
      <c r="U60" s="142"/>
      <c r="V60" s="89">
        <f t="shared" si="36"/>
        <v>0.97271105632860921</v>
      </c>
      <c r="W60" s="112">
        <f t="shared" si="41"/>
        <v>6.2926128357119984E-2</v>
      </c>
      <c r="X60" s="500">
        <f t="shared" si="9"/>
        <v>2.1761869598383273E-2</v>
      </c>
      <c r="Y60" s="108">
        <f t="shared" si="18"/>
        <v>6.9944164581853396</v>
      </c>
      <c r="Z60" s="109">
        <f t="shared" si="19"/>
        <v>7.1327514995919659</v>
      </c>
      <c r="AA60" s="109">
        <f t="shared" si="20"/>
        <v>0.7599999999999999</v>
      </c>
      <c r="AB60" s="102">
        <f t="shared" si="21"/>
        <v>16.691878748979914</v>
      </c>
      <c r="AC60" s="110">
        <f>+'[2]Table II.F 1'!$I$62</f>
        <v>0.95014955134596213</v>
      </c>
      <c r="AD60" s="111">
        <f t="shared" si="37"/>
        <v>0.87941355011261624</v>
      </c>
      <c r="AF60" s="37">
        <f>+N60-'[2]Table U2'!H61</f>
        <v>-3.0650780186759041E-2</v>
      </c>
      <c r="AI60" s="33" t="s">
        <v>350</v>
      </c>
      <c r="AJ60" s="33" t="str">
        <f>+VLOOKUP('Table U1'!A60,[2]Regions!G:J,4,0)</f>
        <v>Americas</v>
      </c>
      <c r="AK60" s="33" t="str">
        <f>+VLOOKUP(A60,[2]Regions!G:K,5,0)</f>
        <v>Latin America and the Caribbean</v>
      </c>
    </row>
    <row r="61" spans="1:37" s="57" customFormat="1" ht="15.75" customHeight="1" x14ac:dyDescent="0.35">
      <c r="A61" s="1" t="str">
        <f>+IFERROR(IFERROR(VLOOKUP(#REF!,[7]Sheet1!$A$1:$C$65536,3,0),VLOOKUP(B61,[7]Sheet1!$A$1:$C$65536,3,0)),VLOOKUP(#REF!,[7]Sheet1!$A$1:$C$65536,3,0))</f>
        <v>BMU</v>
      </c>
      <c r="B61" s="99" t="str">
        <f>+[2]TableA1!A62</f>
        <v>Bermuda</v>
      </c>
      <c r="C61" s="83">
        <f>+[2]GDPgrowth!H56</f>
        <v>7.4234650000000002</v>
      </c>
      <c r="D61" s="84">
        <f>F61*L61</f>
        <v>6.2442733113740982E-2</v>
      </c>
      <c r="E61" s="101"/>
      <c r="F61" s="102">
        <f>IFERROR(VLOOKUP(B61,'[2]CBC- IRS'!A:N,14,0),"")</f>
        <v>3.4317242256752763E-2</v>
      </c>
      <c r="G61" s="103">
        <f t="shared" si="38"/>
        <v>3.4317242256752763E-2</v>
      </c>
      <c r="H61" s="188">
        <f>+'[2]Table U2'!D62</f>
        <v>3.1835621171000001</v>
      </c>
      <c r="I61" s="104">
        <f t="shared" si="34"/>
        <v>1.9101372702599999</v>
      </c>
      <c r="J61" s="88">
        <f>0.4*H61</f>
        <v>1.2734248468400002</v>
      </c>
      <c r="K61" s="247">
        <f t="shared" si="39"/>
        <v>60.878494213700478</v>
      </c>
      <c r="L61" s="87">
        <f>+'[2]Table U2'!F62</f>
        <v>1.8195731651908549</v>
      </c>
      <c r="M61" s="87">
        <f>(1+0.01)*MAX(0,(TableB10!K62+TableB10!N62+TableB10!O62-TableB10!T62))/1000</f>
        <v>59.058921048509625</v>
      </c>
      <c r="N61" s="90">
        <f t="shared" si="35"/>
        <v>59.426789888302885</v>
      </c>
      <c r="O61" s="88">
        <f t="shared" si="28"/>
        <v>33.770334210485096</v>
      </c>
      <c r="P61" s="87">
        <f>MAX(TableB10!V62-IFERROR(VLOOKUP('Table U1'!A53,'[2]fdiinterest_net (2)'!A:D,3,0)/1000000000,0),0)/1000</f>
        <v>33.179744999999997</v>
      </c>
      <c r="Q61" s="88">
        <f>+IFERROR(VLOOKUP(B61,'[2]SPE FDI income'!A:H,7,0)-VLOOKUP(B61,'[2]SPE FDI income'!A:H,8,0),0)/1000</f>
        <v>0</v>
      </c>
      <c r="R61" s="88">
        <f t="shared" si="40"/>
        <v>25.656455677817785</v>
      </c>
      <c r="S61" s="88">
        <f>+(TableB10!F62*(G61/(1-G61)))/1000+1%*M61</f>
        <v>0.59058921048509627</v>
      </c>
      <c r="T61" s="88">
        <f>IFERROR(VLOOKUP('Table U1'!A61,[2]fdiinterest_net!A:B,2,0)/1000000000,0)</f>
        <v>0</v>
      </c>
      <c r="U61" s="142"/>
      <c r="V61" s="89">
        <f t="shared" si="36"/>
        <v>27.108160003215385</v>
      </c>
      <c r="W61" s="112">
        <f t="shared" si="41"/>
        <v>1.4517043253975999</v>
      </c>
      <c r="X61" s="500">
        <f t="shared" si="9"/>
        <v>1.0256944413662662E-3</v>
      </c>
      <c r="Y61" s="108">
        <f t="shared" si="18"/>
        <v>0.57155258740431214</v>
      </c>
      <c r="Z61" s="109">
        <f t="shared" si="19"/>
        <v>19.122759969626877</v>
      </c>
      <c r="AA61" s="109">
        <f t="shared" si="20"/>
        <v>0.76</v>
      </c>
      <c r="AB61" s="102">
        <f t="shared" si="21"/>
        <v>46.666899924067195</v>
      </c>
      <c r="AC61" s="110">
        <f>+IFERROR(VLOOKUP(B61,'[2]Table II.F 1'!A:I,9,0),"")</f>
        <v>5.8322622107969151</v>
      </c>
      <c r="AD61" s="111">
        <f t="shared" si="37"/>
        <v>58.45898700470449</v>
      </c>
      <c r="AF61" s="37">
        <f>+N61-'[2]Table U2'!H62</f>
        <v>34.210340042083459</v>
      </c>
      <c r="AJ61" s="33" t="str">
        <f>+VLOOKUP('Table U1'!A61,[2]Regions!G:J,4,0)</f>
        <v>Americas</v>
      </c>
      <c r="AK61" s="33" t="str">
        <f>+VLOOKUP(A61,[2]Regions!G:K,5,0)</f>
        <v>Northern America</v>
      </c>
    </row>
    <row r="62" spans="1:37" ht="15.75" customHeight="1" x14ac:dyDescent="0.35">
      <c r="A62" s="1" t="s">
        <v>303</v>
      </c>
      <c r="B62" s="99" t="str">
        <f>+[2]TableA1!A63</f>
        <v>Bonaire</v>
      </c>
      <c r="C62" s="83">
        <f>+[2]GDPgrowth!H57</f>
        <v>0.41564614</v>
      </c>
      <c r="D62" s="84">
        <f>5%*L62</f>
        <v>8.9399381658009629E-3</v>
      </c>
      <c r="E62" s="101">
        <f t="shared" si="33"/>
        <v>4.9999999999999996E-2</v>
      </c>
      <c r="F62" s="102" t="str">
        <f>IFERROR(VLOOKUP(B62,'[2]CBC- IRS'!A:N,14,0),"")</f>
        <v/>
      </c>
      <c r="G62" s="103">
        <f t="shared" si="38"/>
        <v>4.9999999999999996E-2</v>
      </c>
      <c r="H62" s="188">
        <f>+'[2]Table U2'!D63</f>
        <v>7.4738745423999997E-2</v>
      </c>
      <c r="I62" s="104">
        <f t="shared" si="34"/>
        <v>4.4843247254399997E-2</v>
      </c>
      <c r="J62" s="88">
        <f>IFERROR('Table U1'!O62/VLOOKUP('Table U1'!B62,'[2]Table II.F 1'!A:I,9,0),0.4*H62)</f>
        <v>2.98954981696E-2</v>
      </c>
      <c r="K62" s="247">
        <f t="shared" si="39"/>
        <v>0.17879876331601927</v>
      </c>
      <c r="L62" s="87">
        <f>+'[2]Table U2'!F63</f>
        <v>0.17879876331601927</v>
      </c>
      <c r="M62" s="87">
        <f>(1+0.01)*MAX(0,(TableB10!K63+TableB10!N63+TableB10!O63-TableB10!T63))/1000</f>
        <v>0</v>
      </c>
      <c r="N62" s="90">
        <f t="shared" si="35"/>
        <v>0.14471789540267527</v>
      </c>
      <c r="O62" s="88">
        <f t="shared" si="28"/>
        <v>0</v>
      </c>
      <c r="P62" s="87">
        <f>MAX(TableB10!V63-IFERROR(VLOOKUP('Table U1'!A54,'[2]fdiinterest_net (2)'!A:D,3,0)/1000000000,0),0)/1000</f>
        <v>0</v>
      </c>
      <c r="Q62" s="88">
        <f>+IFERROR(VLOOKUP(B62,'[2]SPE FDI income'!A:H,7,0)-VLOOKUP(B62,'[2]SPE FDI income'!A:H,8,0),0)/1000</f>
        <v>0</v>
      </c>
      <c r="R62" s="88">
        <f t="shared" si="40"/>
        <v>0.14471789540267527</v>
      </c>
      <c r="S62" s="88">
        <f>+(TableB10!F63*(G62/(1-G62)))/1000+1%*M62</f>
        <v>0</v>
      </c>
      <c r="T62" s="88">
        <f>IFERROR(VLOOKUP('Table U1'!A62,[2]fdiinterest_net!A:B,2,0)/1000000000,0)</f>
        <v>0</v>
      </c>
      <c r="U62" s="142"/>
      <c r="V62" s="89">
        <f t="shared" si="36"/>
        <v>0.17879876331601927</v>
      </c>
      <c r="W62" s="112">
        <f t="shared" si="41"/>
        <v>3.4080867913343998E-2</v>
      </c>
      <c r="X62" s="500">
        <f t="shared" si="9"/>
        <v>4.9999999999999996E-2</v>
      </c>
      <c r="Y62" s="108">
        <f t="shared" si="18"/>
        <v>2.3923168940243364</v>
      </c>
      <c r="Z62" s="109">
        <f t="shared" si="19"/>
        <v>2.3923168940243364</v>
      </c>
      <c r="AA62" s="109">
        <f t="shared" si="20"/>
        <v>0.76</v>
      </c>
      <c r="AB62" s="102">
        <f t="shared" si="21"/>
        <v>4.8407922350608414</v>
      </c>
      <c r="AC62" s="110">
        <f>+'[2]Table II.F 1'!$I$62</f>
        <v>0.95014955134596213</v>
      </c>
      <c r="AD62" s="111">
        <f t="shared" si="37"/>
        <v>0.12199731679377929</v>
      </c>
      <c r="AF62" s="37">
        <f>+N62-'[2]Table U2'!H63</f>
        <v>-1.2557764477244993E-2</v>
      </c>
      <c r="AJ62" s="33" t="str">
        <f>+VLOOKUP('Table U1'!A62,[2]Regions!G:J,4,0)</f>
        <v>Americas</v>
      </c>
      <c r="AK62" s="33" t="str">
        <f>+VLOOKUP(A62,[2]Regions!G:K,5,0)</f>
        <v>Latin America and the Caribbean</v>
      </c>
    </row>
    <row r="63" spans="1:37" ht="15.75" customHeight="1" x14ac:dyDescent="0.35">
      <c r="A63" s="1" t="e">
        <f>+IFERROR(IFERROR(VLOOKUP(#REF!,[7]Sheet1!$A$1:$C$65536,3,0),VLOOKUP(B63,[7]Sheet1!$A$1:$C$65536,3,0)),VLOOKUP(#REF!,[7]Sheet1!$A$1:$C$65536,3,0))</f>
        <v>#REF!</v>
      </c>
      <c r="B63" s="99" t="str">
        <f>+[2]TableA1!A64</f>
        <v>British Virgin Islands</v>
      </c>
      <c r="C63" s="83">
        <f>+[2]GDPgrowth!H58</f>
        <v>0.92824200000000001</v>
      </c>
      <c r="D63" s="84">
        <f>F63*L63</f>
        <v>5.5511371382704075E-3</v>
      </c>
      <c r="E63" s="101"/>
      <c r="F63" s="102">
        <f>IFERROR(VLOOKUP(B63,'[2]CBC- IRS'!A:N,14,0),"")</f>
        <v>1.3804794602889681E-2</v>
      </c>
      <c r="G63" s="103">
        <v>0</v>
      </c>
      <c r="H63" s="188">
        <f>+'[2]Table U2'!D64</f>
        <v>0.16808606136000001</v>
      </c>
      <c r="I63" s="104">
        <f t="shared" si="34"/>
        <v>0.100851636816</v>
      </c>
      <c r="J63" s="88">
        <f>IFERROR('Table U1'!O63/VLOOKUP('Table U1'!B63,'[2]Table II.F 1'!A:I,9,0),0.4*H63)</f>
        <v>6.7234424544000013E-2</v>
      </c>
      <c r="K63" s="247">
        <f t="shared" si="39"/>
        <v>32.095093698093692</v>
      </c>
      <c r="L63" s="87">
        <f>+'[2]Table U2'!F64</f>
        <v>0.40211660498798141</v>
      </c>
      <c r="M63" s="87">
        <f>(1+0.01)*MAX(0,(TableB10!K64+TableB10!N64+TableB10!O64-TableB10!T64))/1000</f>
        <v>31.692977093105711</v>
      </c>
      <c r="N63" s="90">
        <f t="shared" si="35"/>
        <v>32.01844645411353</v>
      </c>
      <c r="O63" s="88">
        <f t="shared" si="28"/>
        <v>31.696115011629782</v>
      </c>
      <c r="P63" s="87">
        <f>MAX(TableB10!V64-IFERROR(VLOOKUP('Table U1'!A55,'[2]fdiinterest_net (2)'!A:D,3,0)/1000000000,0),0)/1000</f>
        <v>31.379185240698725</v>
      </c>
      <c r="Q63" s="88">
        <f>+IFERROR(VLOOKUP(B63,'[2]SPE FDI income'!A:H,7,0)-VLOOKUP(B63,'[2]SPE FDI income'!A:H,8,0),0)/1000</f>
        <v>0</v>
      </c>
      <c r="R63" s="88">
        <f t="shared" si="40"/>
        <v>0.32233144248374812</v>
      </c>
      <c r="S63" s="88">
        <f>+(TableB10!F64*(G63/(1-G63)))/1000+1%*M63</f>
        <v>0.31692977093105712</v>
      </c>
      <c r="T63" s="88">
        <f>IFERROR(VLOOKUP('Table U1'!A63,[2]fdiinterest_net!A:B,2,0)/1000000000,0)</f>
        <v>0</v>
      </c>
      <c r="U63" s="142"/>
      <c r="V63" s="89">
        <f t="shared" si="36"/>
        <v>0.39897868646390988</v>
      </c>
      <c r="W63" s="112">
        <f t="shared" si="41"/>
        <v>7.6647243980159999E-2</v>
      </c>
      <c r="X63" s="500">
        <f t="shared" si="9"/>
        <v>1.729590569352387E-4</v>
      </c>
      <c r="Y63" s="108">
        <f t="shared" si="18"/>
        <v>2.3923257034784351</v>
      </c>
      <c r="Z63" s="109">
        <f t="shared" si="19"/>
        <v>190.94440930086228</v>
      </c>
      <c r="AA63" s="109">
        <f t="shared" si="20"/>
        <v>0.76</v>
      </c>
      <c r="AB63" s="102">
        <f t="shared" si="21"/>
        <v>476.22102325215559</v>
      </c>
      <c r="AC63" s="110">
        <f>+AC54</f>
        <v>14.23455684870188</v>
      </c>
      <c r="AD63" s="111">
        <f t="shared" ref="AD63:AD89" si="42">+(AB63-AA63)*J63</f>
        <v>31.967348291460091</v>
      </c>
      <c r="AF63" s="37">
        <f>+N63-'[2]Table U2'!H64</f>
        <v>2.0278350694793872</v>
      </c>
      <c r="AJ63" s="33" t="e">
        <f>+VLOOKUP('Table U1'!A63,[2]Regions!G:J,4,0)</f>
        <v>#REF!</v>
      </c>
      <c r="AK63" s="33" t="e">
        <f>+VLOOKUP(A63,[2]Regions!G:K,5,0)</f>
        <v>#REF!</v>
      </c>
    </row>
    <row r="64" spans="1:37" ht="15.75" customHeight="1" x14ac:dyDescent="0.35">
      <c r="A64" s="1" t="s">
        <v>304</v>
      </c>
      <c r="B64" s="99" t="str">
        <f>+[2]TableA1!A65</f>
        <v>Cayman Islands</v>
      </c>
      <c r="C64" s="83">
        <f>+[2]GDPgrowth!H59</f>
        <v>5.9435891000000005</v>
      </c>
      <c r="D64" s="84">
        <f>F64*L64</f>
        <v>8.1791280535478978E-3</v>
      </c>
      <c r="E64" s="101"/>
      <c r="F64" s="505">
        <f>IFERROR(VLOOKUP(B64,'[2]CBC- IRS'!A:N,14,0),"")</f>
        <v>7.1489338325700352E-3</v>
      </c>
      <c r="G64" s="103">
        <f t="shared" si="38"/>
        <v>7.1489338325700352E-3</v>
      </c>
      <c r="H64" s="188">
        <f>+'[2]Table U2'!D65</f>
        <v>1.5222226607999998</v>
      </c>
      <c r="I64" s="104">
        <f t="shared" si="34"/>
        <v>0.91333359647999979</v>
      </c>
      <c r="J64" s="88">
        <f>IFERROR('Table U1'!O64/VLOOKUP('Table U1'!B64,'[2]Table II.F 1'!A:I,9,0),0.4*H64)</f>
        <v>0.60888906432000001</v>
      </c>
      <c r="K64" s="247">
        <f t="shared" si="39"/>
        <v>77.471779224342214</v>
      </c>
      <c r="L64" s="87">
        <f>+'[2]Table U2'!F65</f>
        <v>1.1441045958887424</v>
      </c>
      <c r="M64" s="87">
        <f>(1+0.01)*MAX(0,(TableB10!K65+TableB10!N65+TableB10!O65-TableB10!T65))/1000</f>
        <v>76.327674628453465</v>
      </c>
      <c r="N64" s="90">
        <f t="shared" si="35"/>
        <v>76.777645691017412</v>
      </c>
      <c r="O64" s="88">
        <f t="shared" si="28"/>
        <v>46.14036775728453</v>
      </c>
      <c r="P64" s="87">
        <f>MAX(TableB10!V65-IFERROR(VLOOKUP('Table U1'!A56,'[2]fdiinterest_net (2)'!A:D,3,0)/1000000000,0),0)/1000</f>
        <v>45.377091010999997</v>
      </c>
      <c r="Q64" s="88">
        <f>+IFERROR(VLOOKUP(B64,'[2]SPE FDI income'!A:H,7,0)-VLOOKUP(B64,'[2]SPE FDI income'!A:H,8,0),0)/1000</f>
        <v>0</v>
      </c>
      <c r="R64" s="88">
        <f t="shared" si="40"/>
        <v>30.637277933732879</v>
      </c>
      <c r="S64" s="88">
        <f>+(TableB10!F65*(G64/(1-G64)))/1000+1%*M64</f>
        <v>0.76327674628453468</v>
      </c>
      <c r="T64" s="88">
        <f>IFERROR(VLOOKUP('Table U1'!A64,[2]fdiinterest_net!A:B,2,0)/1000000000,0)</f>
        <v>0</v>
      </c>
      <c r="U64" s="142"/>
      <c r="V64" s="89">
        <f t="shared" si="36"/>
        <v>31.331411467057681</v>
      </c>
      <c r="W64" s="112">
        <f t="shared" si="41"/>
        <v>0.69413353332479988</v>
      </c>
      <c r="X64" s="500">
        <f t="shared" si="9"/>
        <v>1.0557558036537199E-4</v>
      </c>
      <c r="Y64" s="108">
        <f t="shared" si="18"/>
        <v>0.75160134279400459</v>
      </c>
      <c r="Z64" s="109">
        <f t="shared" si="19"/>
        <v>50.893854900062479</v>
      </c>
      <c r="AA64" s="109">
        <f t="shared" si="20"/>
        <v>0.76</v>
      </c>
      <c r="AB64" s="102">
        <f t="shared" si="21"/>
        <v>126.09463725015617</v>
      </c>
      <c r="AC64" s="110">
        <f>+AC54</f>
        <v>14.23455684870188</v>
      </c>
      <c r="AD64" s="111">
        <f t="shared" si="42"/>
        <v>76.314890002134206</v>
      </c>
      <c r="AF64" s="37">
        <f>+N64-'[2]Table U2'!H65</f>
        <v>52.582543980340894</v>
      </c>
      <c r="AJ64" s="33" t="str">
        <f>+VLOOKUP('Table U1'!A64,[2]Regions!G:J,4,0)</f>
        <v>Americas</v>
      </c>
      <c r="AK64" s="33" t="str">
        <f>+VLOOKUP(A64,[2]Regions!G:K,5,0)</f>
        <v>Latin America and the Caribbean</v>
      </c>
    </row>
    <row r="65" spans="1:37" ht="15.75" customHeight="1" x14ac:dyDescent="0.35">
      <c r="A65" s="1" t="s">
        <v>305</v>
      </c>
      <c r="B65" s="99" t="str">
        <f>+[2]TableA1!A66</f>
        <v>Curacao</v>
      </c>
      <c r="C65" s="83">
        <f>+[2]GDPgrowth!H60</f>
        <v>2.9951854899999999</v>
      </c>
      <c r="D65" s="84">
        <f>F65*L65</f>
        <v>1.0755978889501407E-3</v>
      </c>
      <c r="E65" s="101"/>
      <c r="F65" s="102">
        <f>IFERROR(VLOOKUP(B65,'[2]CBC- IRS'!A:N,14,0),"")</f>
        <v>2.3782611496524584E-3</v>
      </c>
      <c r="G65" s="103">
        <f t="shared" si="38"/>
        <v>2.3782611496524584E-3</v>
      </c>
      <c r="H65" s="188">
        <f>+'[2]Table U2'!D66</f>
        <v>1.3469816945999999</v>
      </c>
      <c r="I65" s="104">
        <f t="shared" si="34"/>
        <v>0.80818901675999999</v>
      </c>
      <c r="J65" s="88">
        <f>IFERROR('Table U1'!O65/VLOOKUP('Table U1'!B65,'[2]Table II.F 1'!A:I,9,0),0.4*H65)</f>
        <v>0.53879267783999996</v>
      </c>
      <c r="K65" s="247">
        <f t="shared" si="39"/>
        <v>14.640136514641009</v>
      </c>
      <c r="L65" s="87">
        <f>+'[2]Table U2'!F66</f>
        <v>0.4522623132061509</v>
      </c>
      <c r="M65" s="87">
        <f>(1+0.01)*MAX(0,(TableB10!K66+TableB10!N66+TableB10!O66-TableB10!T66))/1000</f>
        <v>14.187874201434859</v>
      </c>
      <c r="N65" s="90">
        <f t="shared" si="35"/>
        <v>14.176496818554805</v>
      </c>
      <c r="O65" s="88">
        <f t="shared" si="28"/>
        <v>14.176496818554805</v>
      </c>
      <c r="P65" s="87">
        <f>MAX(TableB10!V66-IFERROR(VLOOKUP('Table U1'!A57,'[2]fdiinterest_net (2)'!A:D,3,0)/1000000000,0),0)/1000</f>
        <v>14.034618076540456</v>
      </c>
      <c r="Q65" s="88">
        <f>+IFERROR(VLOOKUP(B65,'[2]SPE FDI income'!A:H,7,0)-VLOOKUP(B65,'[2]SPE FDI income'!A:H,8,0),0)/1000</f>
        <v>0</v>
      </c>
      <c r="R65" s="88">
        <f t="shared" si="40"/>
        <v>2.2204460492503131E-16</v>
      </c>
      <c r="S65" s="88">
        <f>+(TableB10!F66*(G65/(1-G65)))/1000+1%*M65</f>
        <v>0.14187874201434858</v>
      </c>
      <c r="T65" s="88">
        <f>IFERROR(VLOOKUP('Table U1'!A65,[2]fdiinterest_net!A:B,2,0)/1000000000,0)</f>
        <v>0</v>
      </c>
      <c r="U65" s="142"/>
      <c r="V65" s="89">
        <f t="shared" si="36"/>
        <v>0.46363969608620459</v>
      </c>
      <c r="W65" s="112">
        <f t="shared" si="41"/>
        <v>0.46363969608620459</v>
      </c>
      <c r="X65" s="500">
        <f t="shared" si="9"/>
        <v>7.346911607514579E-5</v>
      </c>
      <c r="Y65" s="108">
        <f t="shared" si="18"/>
        <v>0.33575980655064125</v>
      </c>
      <c r="Z65" s="109">
        <f t="shared" si="19"/>
        <v>10.86884593408565</v>
      </c>
      <c r="AA65" s="109">
        <f t="shared" si="20"/>
        <v>0.57367730378831316</v>
      </c>
      <c r="AB65" s="102">
        <f t="shared" si="21"/>
        <v>26.311598879531658</v>
      </c>
      <c r="AC65" s="110">
        <f>+AC62</f>
        <v>0.95014955134596213</v>
      </c>
      <c r="AD65" s="111">
        <f t="shared" si="42"/>
        <v>13.867403687830668</v>
      </c>
      <c r="AF65" s="37">
        <f>+N65-'[2]Table U2'!H66</f>
        <v>2.9745210100636559</v>
      </c>
      <c r="AJ65" s="33" t="str">
        <f>+VLOOKUP('Table U1'!A65,[2]Regions!G:J,4,0)</f>
        <v>Americas</v>
      </c>
      <c r="AK65" s="33" t="str">
        <f>+VLOOKUP(A65,[2]Regions!G:K,5,0)</f>
        <v>Latin America and the Caribbean</v>
      </c>
    </row>
    <row r="66" spans="1:37" ht="15.75" customHeight="1" x14ac:dyDescent="0.35">
      <c r="A66" s="1" t="str">
        <f>+IFERROR(IFERROR(VLOOKUP(#REF!,[7]Sheet1!$A$1:$C$65536,3,0),VLOOKUP(B66,[7]Sheet1!$A$1:$C$65536,3,0)),VLOOKUP(#REF!,[7]Sheet1!$A$1:$C$65536,3,0))</f>
        <v>CYP</v>
      </c>
      <c r="B66" s="99" t="str">
        <f>+[2]TableA1!A67</f>
        <v>Cyprus</v>
      </c>
      <c r="C66" s="83">
        <f>+[2]GDPgrowth!H61</f>
        <v>25.75835777</v>
      </c>
      <c r="D66" s="84">
        <f>+VLOOKUP($A66,[2]globaltaxrev!A:B,2,0)</f>
        <v>1.4599800000000001</v>
      </c>
      <c r="E66" s="101">
        <f t="shared" si="33"/>
        <v>0.46303196831327981</v>
      </c>
      <c r="F66" s="102">
        <f>IFERROR(VLOOKUP(B66,'[2]CBC- IRS'!A:N,14,0),"")</f>
        <v>6.9575910500814131E-2</v>
      </c>
      <c r="G66" s="103">
        <f t="shared" si="38"/>
        <v>6.9575910500814131E-2</v>
      </c>
      <c r="H66" s="188">
        <f>+'[2]Table U2'!D67</f>
        <v>5.5965133959000006</v>
      </c>
      <c r="I66" s="104">
        <f t="shared" si="34"/>
        <v>3.3579080375400001</v>
      </c>
      <c r="J66" s="88">
        <f>IFERROR('Table U1'!O66/VLOOKUP('Table U1'!B66,'[2]Table II.F 1'!A:I,9,0),0.4*H66)</f>
        <v>2.2386053583600005</v>
      </c>
      <c r="K66" s="247">
        <f t="shared" si="39"/>
        <v>7.6743215274999992</v>
      </c>
      <c r="L66" s="87">
        <f>+'[2]Table U2'!F67</f>
        <v>3.1530868275000001</v>
      </c>
      <c r="M66" s="87">
        <f>(1+0.01)*MAX(0,(TableB10!V67))/1000</f>
        <v>4.5212346999999991</v>
      </c>
      <c r="N66" s="90">
        <f t="shared" si="35"/>
        <v>5.2513467986842794</v>
      </c>
      <c r="O66" s="88">
        <f t="shared" si="28"/>
        <v>5.2513467986842794</v>
      </c>
      <c r="P66" s="87">
        <f>MAX(TableB10!V67-IFERROR(VLOOKUP('Table U1'!A58,'[2]fdiinterest_net (2)'!A:D,3,0)/1000000000,0),0)/1000</f>
        <v>4.4764699999999991</v>
      </c>
      <c r="Q66" s="88">
        <f>+IFERROR(VLOOKUP(B66,'[2]SPE FDI income'!A:H,7,0)-VLOOKUP(B66,'[2]SPE FDI income'!A:H,8,0),0)/1000</f>
        <v>0</v>
      </c>
      <c r="R66" s="88">
        <f t="shared" si="40"/>
        <v>0</v>
      </c>
      <c r="S66" s="88">
        <f>+(TableB10!F67*(G66/(1-G66)))/1000+1%*M66</f>
        <v>0.77487679868428017</v>
      </c>
      <c r="T66" s="88">
        <f>IFERROR(VLOOKUP('Table U1'!A66,[2]fdiinterest_net!A:B,2,0)/1000000000,0)</f>
        <v>-2.5851500000000001</v>
      </c>
      <c r="U66" s="142"/>
      <c r="V66" s="89">
        <f t="shared" si="36"/>
        <v>2.4229747288157197</v>
      </c>
      <c r="W66" s="112">
        <f t="shared" si="41"/>
        <v>2.4229747288157197</v>
      </c>
      <c r="X66" s="500">
        <f t="shared" si="9"/>
        <v>0.19024222464075019</v>
      </c>
      <c r="Y66" s="108">
        <f t="shared" si="18"/>
        <v>0.56340199771699784</v>
      </c>
      <c r="Z66" s="109">
        <f t="shared" si="19"/>
        <v>1.3712683209374963</v>
      </c>
      <c r="AA66" s="109">
        <f t="shared" si="20"/>
        <v>0.72157268803310903</v>
      </c>
      <c r="AB66" s="102">
        <f t="shared" si="21"/>
        <v>2.3458117702940768</v>
      </c>
      <c r="AC66" s="110">
        <f>+AC53</f>
        <v>36.001297158113729</v>
      </c>
      <c r="AD66" s="111">
        <f t="shared" si="42"/>
        <v>3.6360303128071321</v>
      </c>
      <c r="AF66" s="37">
        <f>+N66-'[2]Table U2'!H67</f>
        <v>-8.251055413593722E-2</v>
      </c>
      <c r="AJ66" s="33" t="str">
        <f>+VLOOKUP('Table U1'!A66,[2]Regions!G:J,4,0)</f>
        <v>Asia</v>
      </c>
      <c r="AK66" s="33" t="str">
        <f>+VLOOKUP(A66,[2]Regions!G:K,5,0)</f>
        <v>Western Asia</v>
      </c>
    </row>
    <row r="67" spans="1:37" ht="15.75" customHeight="1" x14ac:dyDescent="0.35">
      <c r="A67" s="1" t="s">
        <v>306</v>
      </c>
      <c r="B67" s="99" t="str">
        <f>+[2]TableA1!A68</f>
        <v>Jersey</v>
      </c>
      <c r="C67" s="83">
        <f>+[2]GDPgrowth!H62</f>
        <v>6.3601801045999995</v>
      </c>
      <c r="D67" s="84">
        <f>F67*L67</f>
        <v>4.6141334253578338E-2</v>
      </c>
      <c r="E67" s="101"/>
      <c r="F67" s="102">
        <f>IFERROR(VLOOKUP(B67,'[2]CBC- IRS'!A:N,14,0),"")</f>
        <v>1.48107768259329E-2</v>
      </c>
      <c r="G67" s="103">
        <f t="shared" si="38"/>
        <v>1.48107768259329E-2</v>
      </c>
      <c r="H67" s="188">
        <f>+'[2]Table U2'!D68</f>
        <v>1.3022513293999998</v>
      </c>
      <c r="I67" s="104">
        <f t="shared" si="34"/>
        <v>0.78135079763999982</v>
      </c>
      <c r="J67" s="88">
        <f>IFERROR('Table U1'!O67/VLOOKUP('Table U1'!B67,'[2]Table II.F 1'!A:I,9,0),0.4*H67)</f>
        <v>0.52090053175999995</v>
      </c>
      <c r="K67" s="247">
        <f t="shared" si="39"/>
        <v>8.3703006394071444</v>
      </c>
      <c r="L67" s="87">
        <f>+'[2]Table U2'!F68</f>
        <v>3.1153892058374186</v>
      </c>
      <c r="M67" s="87">
        <f>(1+0.01)*MAX(0,(TableB10!K68+TableB10!N68+TableB10!O68-TableB10!T68))/1000</f>
        <v>5.2549114335697267</v>
      </c>
      <c r="N67" s="90">
        <f t="shared" si="35"/>
        <v>7.7764740332007447</v>
      </c>
      <c r="O67" s="88">
        <f t="shared" si="28"/>
        <v>1.9808201143356969</v>
      </c>
      <c r="P67" s="87">
        <f>MAX(TableB10!V68-IFERROR(VLOOKUP('Table U1'!A59,'[2]fdiinterest_net (2)'!A:D,3,0)/1000000000,0),0)/1000</f>
        <v>1.9282709999999996</v>
      </c>
      <c r="Q67" s="88">
        <f>+IFERROR(VLOOKUP(B67,'[2]SPE FDI income'!A:H,7,0)-VLOOKUP(B67,'[2]SPE FDI income'!A:H,8,0),0)/1000</f>
        <v>0</v>
      </c>
      <c r="R67" s="88">
        <f t="shared" si="40"/>
        <v>5.7956539188650478</v>
      </c>
      <c r="S67" s="88">
        <f>+(TableB10!F68*(G67/(1-G67)))/1000+1%*M67</f>
        <v>5.254911433569727E-2</v>
      </c>
      <c r="T67" s="88">
        <f>IFERROR(VLOOKUP('Table U1'!A67,[2]fdiinterest_net!A:B,2,0)/1000000000,0)</f>
        <v>0</v>
      </c>
      <c r="U67" s="142"/>
      <c r="V67" s="89">
        <f t="shared" si="36"/>
        <v>6.3894805250714475</v>
      </c>
      <c r="W67" s="112">
        <f t="shared" si="41"/>
        <v>0.59382660620639982</v>
      </c>
      <c r="X67" s="500">
        <f t="shared" si="9"/>
        <v>5.5125062099139199E-3</v>
      </c>
      <c r="Y67" s="108">
        <f t="shared" si="18"/>
        <v>2.3923102518718911</v>
      </c>
      <c r="Z67" s="109">
        <f t="shared" si="19"/>
        <v>6.427561600773088</v>
      </c>
      <c r="AA67" s="109">
        <f t="shared" si="20"/>
        <v>0.7599999999999999</v>
      </c>
      <c r="AB67" s="102">
        <f t="shared" si="21"/>
        <v>14.92890400193272</v>
      </c>
      <c r="AC67" s="110">
        <f>+AC66</f>
        <v>36.001297158113729</v>
      </c>
      <c r="AD67" s="111">
        <f t="shared" si="42"/>
        <v>7.3805896290631452</v>
      </c>
      <c r="AF67" s="37">
        <f>+N67-'[2]Table U2'!H68</f>
        <v>2.4590449759182178</v>
      </c>
      <c r="AJ67" s="33" t="str">
        <f>+VLOOKUP('Table U1'!A67,[2]Regions!G:J,4,0)</f>
        <v>Europe</v>
      </c>
      <c r="AK67" s="33" t="str">
        <f>+VLOOKUP(A67,[2]Regions!G:K,5,0)</f>
        <v>Northern Europe</v>
      </c>
    </row>
    <row r="68" spans="1:37" ht="15.75" customHeight="1" x14ac:dyDescent="0.35">
      <c r="A68" s="1" t="str">
        <f>+IFERROR(IFERROR(VLOOKUP(#REF!,[7]Sheet1!$A$1:$C$65536,3,0),VLOOKUP(B68,[7]Sheet1!$A$1:$C$65536,3,0)),VLOOKUP(#REF!,[7]Sheet1!$A$1:$C$65536,3,0))</f>
        <v>GRD</v>
      </c>
      <c r="B68" s="99" t="str">
        <f>+[2]TableA1!A69</f>
        <v>Grenada</v>
      </c>
      <c r="C68" s="83">
        <f>+[2]GDPgrowth!H63</f>
        <v>1.2134851900000001</v>
      </c>
      <c r="D68" s="84">
        <f>+VLOOKUP($A68,[2]globaltaxrev!A:B,2,0)</f>
        <v>1.9439999999999999E-2</v>
      </c>
      <c r="E68" s="101">
        <f t="shared" si="33"/>
        <v>4.8758770066037231E-2</v>
      </c>
      <c r="F68" s="102" t="str">
        <f>IFERROR(VLOOKUP(B68,'[2]CBC- IRS'!A:N,14,0),"")</f>
        <v/>
      </c>
      <c r="G68" s="103">
        <f t="shared" si="38"/>
        <v>4.8758770066037231E-2</v>
      </c>
      <c r="H68" s="188">
        <f>+'[2]Table U2'!D69</f>
        <v>7.6882545752480005E-2</v>
      </c>
      <c r="I68" s="104">
        <f t="shared" si="34"/>
        <v>4.6129527451488003E-2</v>
      </c>
      <c r="J68" s="88">
        <f>IFERROR('Table U1'!O68/VLOOKUP('Table U1'!B68,'[2]Table II.F 1'!A:I,9,0),0.4*H68)</f>
        <v>3.0753018300992002E-2</v>
      </c>
      <c r="K68" s="247">
        <f t="shared" si="39"/>
        <v>0.40475819861590362</v>
      </c>
      <c r="L68" s="87">
        <f>+'[2]Table U2'!F69</f>
        <v>0.39869750557020039</v>
      </c>
      <c r="M68" s="87">
        <f>(1+0.01)*MAX(0,(TableB10!K69+TableB10!N69+TableB10!O69-TableB10!T69))/1000</f>
        <v>6.0606930457032171E-3</v>
      </c>
      <c r="N68" s="90">
        <f t="shared" si="35"/>
        <v>0.36969975775277275</v>
      </c>
      <c r="O68" s="88">
        <f t="shared" si="28"/>
        <v>4.0606069304570322E-3</v>
      </c>
      <c r="P68" s="87">
        <f>MAX(TableB10!V69-IFERROR(VLOOKUP('Table U1'!A60,'[2]fdiinterest_net (2)'!A:D,3,0)/1000000000,0),0)/1000</f>
        <v>4.0000000000000001E-3</v>
      </c>
      <c r="Q68" s="88">
        <f>+IFERROR(VLOOKUP(B68,'[2]SPE FDI income'!A:H,7,0)-VLOOKUP(B68,'[2]SPE FDI income'!A:H,8,0),0)/1000</f>
        <v>0</v>
      </c>
      <c r="R68" s="88">
        <f t="shared" si="40"/>
        <v>0.36563915082231574</v>
      </c>
      <c r="S68" s="88">
        <f>+(TableB10!F69*(G68/(1-G68)))/1000+1%*M68</f>
        <v>6.0606930457032171E-5</v>
      </c>
      <c r="T68" s="88">
        <f>IFERROR(VLOOKUP('Table U1'!A68,[2]fdiinterest_net!A:B,2,0)/1000000000,0)</f>
        <v>0</v>
      </c>
      <c r="U68" s="142"/>
      <c r="V68" s="89">
        <f t="shared" si="36"/>
        <v>0.40069759168544661</v>
      </c>
      <c r="W68" s="112">
        <f t="shared" si="41"/>
        <v>3.5058440863130882E-2</v>
      </c>
      <c r="X68" s="500">
        <f t="shared" si="9"/>
        <v>4.8028675061990871E-2</v>
      </c>
      <c r="Y68" s="108">
        <f t="shared" si="18"/>
        <v>5.1857999974895419</v>
      </c>
      <c r="Z68" s="109">
        <f t="shared" si="19"/>
        <v>5.264630543309595</v>
      </c>
      <c r="AA68" s="109">
        <f t="shared" si="20"/>
        <v>0.76</v>
      </c>
      <c r="AB68" s="102">
        <f t="shared" si="21"/>
        <v>12.021576358273988</v>
      </c>
      <c r="AC68" s="110">
        <f>+AC57</f>
        <v>0.95014955134596213</v>
      </c>
      <c r="AD68" s="111">
        <f t="shared" si="42"/>
        <v>0.3463274638440188</v>
      </c>
      <c r="AF68" s="37">
        <f>+N68-'[2]Table U2'!H69</f>
        <v>-2.5917516690751818E-2</v>
      </c>
      <c r="AJ68" s="33" t="str">
        <f>+VLOOKUP('Table U1'!A68,[2]Regions!G:J,4,0)</f>
        <v>Americas</v>
      </c>
      <c r="AK68" s="33" t="str">
        <f>+VLOOKUP(A68,[2]Regions!G:K,5,0)</f>
        <v>Latin America and the Caribbean</v>
      </c>
    </row>
    <row r="69" spans="1:37" ht="15.75" customHeight="1" x14ac:dyDescent="0.35">
      <c r="A69" s="1" t="s">
        <v>307</v>
      </c>
      <c r="B69" s="99" t="str">
        <f>+[2]TableA1!A70</f>
        <v>Guernsey</v>
      </c>
      <c r="C69" s="83">
        <f>+[2]GDPgrowth!H64</f>
        <v>4.4021154883999998</v>
      </c>
      <c r="D69" s="84">
        <f>F69*L69</f>
        <v>0.21596771246724297</v>
      </c>
      <c r="E69" s="101"/>
      <c r="F69" s="102">
        <f>IFERROR(VLOOKUP(B69,'[2]CBC- IRS'!A:N,14,0),"")</f>
        <v>0.10309291729512618</v>
      </c>
      <c r="G69" s="103">
        <f t="shared" si="38"/>
        <v>0.10309291729512618</v>
      </c>
      <c r="H69" s="188">
        <f>+'[2]Table U2'!D70</f>
        <v>0.87567153001999998</v>
      </c>
      <c r="I69" s="104">
        <f t="shared" si="34"/>
        <v>0.5254029180119999</v>
      </c>
      <c r="J69" s="88">
        <f>IFERROR('Table U1'!O69/VLOOKUP('Table U1'!B69,'[2]Table II.F 1'!A:I,9,0),0.4*H69)</f>
        <v>0.35026861200800002</v>
      </c>
      <c r="K69" s="247">
        <f t="shared" si="39"/>
        <v>2.0948840922697709</v>
      </c>
      <c r="L69" s="87">
        <f>+'[2]Table U2'!F70</f>
        <v>2.0948840922697709</v>
      </c>
      <c r="M69" s="87">
        <f>(1+0.01)*MAX(0,(TableB10!K70+TableB10!N70+TableB10!O70-TableB10!T70))/1000</f>
        <v>0</v>
      </c>
      <c r="N69" s="90">
        <f t="shared" si="35"/>
        <v>1.6955778745806509</v>
      </c>
      <c r="O69" s="88">
        <f t="shared" si="28"/>
        <v>0</v>
      </c>
      <c r="P69" s="87">
        <f>MAX(TableB10!V70-IFERROR(VLOOKUP('Table U1'!A61,'[2]fdiinterest_net (2)'!A:D,3,0)/1000000000,0),0)/1000</f>
        <v>0</v>
      </c>
      <c r="Q69" s="88">
        <f>+IFERROR(VLOOKUP(B69,'[2]SPE FDI income'!A:H,7,0)-VLOOKUP(B69,'[2]SPE FDI income'!A:H,8,0),0)/1000</f>
        <v>0</v>
      </c>
      <c r="R69" s="88">
        <f t="shared" si="40"/>
        <v>1.6955778745806509</v>
      </c>
      <c r="S69" s="88">
        <f>+(TableB10!F70*(G69/(1-G69)))/1000+1%*M69</f>
        <v>0</v>
      </c>
      <c r="T69" s="88">
        <f>IFERROR(VLOOKUP('Table U1'!A69,[2]fdiinterest_net!A:B,2,0)/1000000000,0)</f>
        <v>0</v>
      </c>
      <c r="U69" s="142"/>
      <c r="V69" s="89">
        <f t="shared" si="36"/>
        <v>2.0948840922697709</v>
      </c>
      <c r="W69" s="112">
        <f t="shared" si="41"/>
        <v>0.39930621768911995</v>
      </c>
      <c r="X69" s="500">
        <f t="shared" si="9"/>
        <v>0.10309291729512618</v>
      </c>
      <c r="Y69" s="108">
        <f t="shared" si="18"/>
        <v>2.3923172336343113</v>
      </c>
      <c r="Z69" s="109">
        <f t="shared" si="19"/>
        <v>2.3923172336343113</v>
      </c>
      <c r="AA69" s="109">
        <f t="shared" si="20"/>
        <v>0.76</v>
      </c>
      <c r="AB69" s="102">
        <f t="shared" si="21"/>
        <v>4.8407930840857771</v>
      </c>
      <c r="AC69" s="110">
        <f>+AC67</f>
        <v>36.001297158113729</v>
      </c>
      <c r="AD69" s="111">
        <f t="shared" si="42"/>
        <v>1.429373729454571</v>
      </c>
      <c r="AF69" s="37">
        <f>+N69-'[2]Table U2'!H70</f>
        <v>-0.14713221062296267</v>
      </c>
      <c r="AJ69" s="33" t="str">
        <f>+VLOOKUP('Table U1'!A69,[2]Regions!G:J,4,0)</f>
        <v>Europe</v>
      </c>
      <c r="AK69" s="33" t="str">
        <f>+VLOOKUP(A69,[2]Regions!G:K,5,0)</f>
        <v>Northern Europe</v>
      </c>
    </row>
    <row r="70" spans="1:37" ht="15.75" customHeight="1" x14ac:dyDescent="0.35">
      <c r="A70" s="1" t="s">
        <v>438</v>
      </c>
      <c r="B70" s="99" t="str">
        <f>+[2]TableA1!A71</f>
        <v>Gibraltar</v>
      </c>
      <c r="C70" s="83">
        <f>+[2]GDPgrowth!H65</f>
        <v>2.5887637999999993</v>
      </c>
      <c r="D70" s="84">
        <f>5%*L70</f>
        <v>5.2596452077756185E-2</v>
      </c>
      <c r="E70" s="101">
        <f t="shared" si="33"/>
        <v>0.05</v>
      </c>
      <c r="F70" s="102" t="str">
        <f>IFERROR(VLOOKUP(B70,'[2]CBC- IRS'!A:N,14,0),"")</f>
        <v/>
      </c>
      <c r="G70" s="103">
        <v>0.05</v>
      </c>
      <c r="H70" s="188">
        <f>+'[2]Table U2'!D71</f>
        <v>0.43971308928000002</v>
      </c>
      <c r="I70" s="104">
        <f t="shared" si="34"/>
        <v>0.26382785356799998</v>
      </c>
      <c r="J70" s="88">
        <f>IFERROR('Table U1'!O70/VLOOKUP('Table U1'!B70,'[2]Table II.F 1'!A:I,9,0),0.4*H70)</f>
        <v>0.17588523571200002</v>
      </c>
      <c r="K70" s="247">
        <f t="shared" si="39"/>
        <v>1.0519290415551237</v>
      </c>
      <c r="L70" s="87">
        <f>+'[2]Table U2'!F71</f>
        <v>1.0519290415551237</v>
      </c>
      <c r="M70" s="87">
        <f>(1+0.01)*MAX(0,(TableB10!K71+TableB10!N71+TableB10!O71-TableB10!T71))/1000</f>
        <v>0</v>
      </c>
      <c r="N70" s="90">
        <f t="shared" si="35"/>
        <v>0.85141987284344367</v>
      </c>
      <c r="O70" s="88">
        <f t="shared" si="28"/>
        <v>0</v>
      </c>
      <c r="P70" s="87">
        <f>MAX(TableB10!V71-IFERROR(VLOOKUP('Table U1'!A62,'[2]fdiinterest_net (2)'!A:D,3,0)/1000000000,0),0)/1000</f>
        <v>0</v>
      </c>
      <c r="Q70" s="88">
        <f>+IFERROR(VLOOKUP(B70,'[2]SPE FDI income'!A:H,7,0)-VLOOKUP(B70,'[2]SPE FDI income'!A:H,8,0),0)/1000</f>
        <v>0</v>
      </c>
      <c r="R70" s="88">
        <f t="shared" si="40"/>
        <v>0.85141987284344367</v>
      </c>
      <c r="S70" s="88">
        <f>+(TableB10!F71*(G70/(1-G70)))/1000+1%*M70</f>
        <v>0</v>
      </c>
      <c r="T70" s="88">
        <f>IFERROR(VLOOKUP('Table U1'!A70,[2]fdiinterest_net!A:B,2,0)/1000000000,0)</f>
        <v>0</v>
      </c>
      <c r="U70" s="142"/>
      <c r="V70" s="89">
        <f t="shared" si="36"/>
        <v>1.0519290415551237</v>
      </c>
      <c r="W70" s="112">
        <f t="shared" si="41"/>
        <v>0.20050916871167998</v>
      </c>
      <c r="X70" s="500">
        <f>+D70/K70</f>
        <v>0.05</v>
      </c>
      <c r="Y70" s="108">
        <f t="shared" si="18"/>
        <v>2.3923077734110332</v>
      </c>
      <c r="Z70" s="109">
        <f t="shared" si="19"/>
        <v>2.3923077734110332</v>
      </c>
      <c r="AA70" s="109">
        <f t="shared" si="20"/>
        <v>0.76</v>
      </c>
      <c r="AB70" s="102">
        <f t="shared" si="21"/>
        <v>4.8407694335275826</v>
      </c>
      <c r="AC70" s="110">
        <f>+AC69</f>
        <v>36.001297158113729</v>
      </c>
      <c r="AD70" s="111">
        <f t="shared" si="42"/>
        <v>0.7177470937023237</v>
      </c>
      <c r="AF70" s="37">
        <f>+N70-'[2]Table U2'!H71</f>
        <v>-7.3881537366118133E-2</v>
      </c>
      <c r="AJ70" s="33" t="str">
        <f>+VLOOKUP('Table U1'!A70,[2]Regions!G:J,4,0)</f>
        <v>Europe</v>
      </c>
      <c r="AK70" s="33" t="str">
        <f>+VLOOKUP(A70,[2]Regions!G:K,5,0)</f>
        <v>Southern Europe</v>
      </c>
    </row>
    <row r="71" spans="1:37" s="57" customFormat="1" ht="15.75" customHeight="1" x14ac:dyDescent="0.35">
      <c r="A71" s="1" t="e">
        <f>+IFERROR(IFERROR(VLOOKUP(#REF!,[7]Sheet1!$A$1:$C$65536,3,0),VLOOKUP(B71,[7]Sheet1!$A$1:$C$65536,3,0)),VLOOKUP(#REF!,[7]Sheet1!$A$1:$C$65536,3,0))</f>
        <v>#REF!</v>
      </c>
      <c r="B71" s="99" t="str">
        <f>+[2]TableA1!A72</f>
        <v>Hong Kong</v>
      </c>
      <c r="C71" s="83">
        <f>+[2]GDPgrowth!H66</f>
        <v>363.05248917999995</v>
      </c>
      <c r="D71" s="84">
        <f>F71*L71</f>
        <v>9.1389445388583965</v>
      </c>
      <c r="E71" s="101"/>
      <c r="F71" s="102">
        <f>IFERROR(VLOOKUP(B71,'[2]CBC- IRS'!A:N,14,0),"")</f>
        <v>0.11985557137428952</v>
      </c>
      <c r="G71" s="103">
        <f t="shared" si="15"/>
        <v>0.11985557137428952</v>
      </c>
      <c r="H71" s="188">
        <f>+'[2]Table U2'!D72</f>
        <v>120.74262521999999</v>
      </c>
      <c r="I71" s="104">
        <f t="shared" si="34"/>
        <v>40.985823820618563</v>
      </c>
      <c r="J71" s="88">
        <f>IFERROR('Table U1'!O71/VLOOKUP('Table U1'!B71,'[2]Table II.F 1'!A:I,9,0),0.4*H71)</f>
        <v>79.75680139938143</v>
      </c>
      <c r="K71" s="247">
        <f t="shared" si="39"/>
        <v>154.17261865842914</v>
      </c>
      <c r="L71" s="87">
        <f>+'[2]Table U2'!F72</f>
        <v>76.249643083498839</v>
      </c>
      <c r="M71" s="87">
        <f>(1+0.01)*MAX(0,(TableB10!K72+TableB10!N72+TableB10!O72-TableB10!T72))/1000</f>
        <v>77.922975574930305</v>
      </c>
      <c r="N71" s="90">
        <f t="shared" si="35"/>
        <v>123.02339255475903</v>
      </c>
      <c r="O71" s="88">
        <f t="shared" si="28"/>
        <v>54.350017770625286</v>
      </c>
      <c r="P71" s="87">
        <f>MAX(TableB10!V72-IFERROR(VLOOKUP('Table U1'!A63,'[2]fdiinterest_net (2)'!A:D,3,0)/1000000000,0),0)/1000</f>
        <v>32.565460612700001</v>
      </c>
      <c r="Q71" s="88">
        <f>+IFERROR(VLOOKUP(B71,'[2]SPE FDI income'!A:H,7,0)-VLOOKUP(B71,'[2]SPE FDI income'!A:H,8,0),0)/1000</f>
        <v>0</v>
      </c>
      <c r="R71" s="88">
        <f t="shared" si="40"/>
        <v>68.673374784133728</v>
      </c>
      <c r="S71" s="88">
        <f>+(TableB10!F72*(G71/(1-G71)))/1000+1%*M71</f>
        <v>21.784557157925285</v>
      </c>
      <c r="T71" s="88">
        <f>IFERROR(VLOOKUP('Table U1'!A71,[2]fdiinterest_net!A:B,2,0)/1000000000,0)</f>
        <v>0</v>
      </c>
      <c r="U71" s="142"/>
      <c r="V71" s="89">
        <f t="shared" si="36"/>
        <v>99.822600887803844</v>
      </c>
      <c r="W71" s="112">
        <f t="shared" si="41"/>
        <v>31.149226103670109</v>
      </c>
      <c r="X71" s="500">
        <f t="shared" si="9"/>
        <v>5.9277351700860785E-2</v>
      </c>
      <c r="Y71" s="108">
        <f t="shared" si="18"/>
        <v>0.63150559253260907</v>
      </c>
      <c r="Z71" s="109">
        <f t="shared" si="19"/>
        <v>1.2768698574966197</v>
      </c>
      <c r="AA71" s="109">
        <f t="shared" si="20"/>
        <v>0.76</v>
      </c>
      <c r="AB71" s="102">
        <f t="shared" si="21"/>
        <v>1.5424815237852951</v>
      </c>
      <c r="AC71" s="110">
        <f>+IFERROR(VLOOKUP(B71,'[2]Table II.F 1'!A:I,9,0),"")</f>
        <v>0.68144680851063832</v>
      </c>
      <c r="AD71" s="111">
        <f t="shared" si="42"/>
        <v>62.408223491229137</v>
      </c>
      <c r="AF71" s="37">
        <f>+N71-'[2]Table U2'!H72</f>
        <v>71.087043686298529</v>
      </c>
      <c r="AJ71" s="33" t="e">
        <f>+VLOOKUP('Table U1'!A71,[2]Regions!G:J,4,0)</f>
        <v>#REF!</v>
      </c>
      <c r="AK71" s="33" t="e">
        <f>+VLOOKUP(A71,[2]Regions!G:K,5,0)</f>
        <v>#REF!</v>
      </c>
    </row>
    <row r="72" spans="1:37" ht="15.75" customHeight="1" x14ac:dyDescent="0.35">
      <c r="A72" s="1" t="s">
        <v>308</v>
      </c>
      <c r="B72" s="99" t="str">
        <f>+[2]TableA1!A73</f>
        <v>Isle of man</v>
      </c>
      <c r="C72" s="83">
        <f>+[2]GDPgrowth!H67</f>
        <v>7.3153880499999993</v>
      </c>
      <c r="D72" s="84">
        <f>5%*L72</f>
        <v>0.14365712669850492</v>
      </c>
      <c r="E72" s="101">
        <f t="shared" si="33"/>
        <v>4.9999999999999996E-2</v>
      </c>
      <c r="F72" s="102" t="str">
        <f>IFERROR(VLOOKUP(B72,'[2]CBC- IRS'!A:N,14,0),"")</f>
        <v/>
      </c>
      <c r="G72" s="103">
        <f t="shared" ref="G72:G88" si="43">+IF(MIN(E72,F72)&gt;0,MIN(E72,F72),MAX(E72,F72,5%))</f>
        <v>4.9999999999999996E-2</v>
      </c>
      <c r="H72" s="188">
        <f>+'[2]Table U2'!D73</f>
        <v>1.2009796071000001</v>
      </c>
      <c r="I72" s="104">
        <f t="shared" si="34"/>
        <v>0.72058776426000004</v>
      </c>
      <c r="J72" s="88">
        <f>IFERROR('Table U1'!O72/VLOOKUP('Table U1'!B72,'[2]Table II.F 1'!A:I,9,0),0.4*H72)</f>
        <v>0.48039184284000003</v>
      </c>
      <c r="K72" s="247">
        <f t="shared" si="39"/>
        <v>2.8731425339700984</v>
      </c>
      <c r="L72" s="87">
        <f>+'[2]Table U2'!F73</f>
        <v>2.8731425339700984</v>
      </c>
      <c r="M72" s="87">
        <f>(1+0.01)*MAX(0,(TableB10!K73+TableB10!N73+TableB10!O73-TableB10!T73))/1000</f>
        <v>0</v>
      </c>
      <c r="N72" s="90">
        <f t="shared" si="35"/>
        <v>2.3254958331324982</v>
      </c>
      <c r="O72" s="88">
        <f t="shared" si="28"/>
        <v>0</v>
      </c>
      <c r="P72" s="87">
        <f>MAX(TableB10!V73-IFERROR(VLOOKUP('Table U1'!A64,'[2]fdiinterest_net (2)'!A:D,3,0)/1000000000,0),0)/1000</f>
        <v>0</v>
      </c>
      <c r="Q72" s="88">
        <f>+IFERROR(VLOOKUP(B72,'[2]SPE FDI income'!A:H,7,0)-VLOOKUP(B72,'[2]SPE FDI income'!A:H,8,0),0)/1000</f>
        <v>0</v>
      </c>
      <c r="R72" s="88">
        <f t="shared" si="40"/>
        <v>2.3254958331324982</v>
      </c>
      <c r="S72" s="88">
        <f>+(TableB10!F73*(G72/(1-G72)))/1000+1%*M72</f>
        <v>0</v>
      </c>
      <c r="T72" s="88">
        <f>IFERROR(VLOOKUP('Table U1'!A72,[2]fdiinterest_net!A:B,2,0)/1000000000,0)</f>
        <v>0</v>
      </c>
      <c r="U72" s="142"/>
      <c r="V72" s="89">
        <f t="shared" si="36"/>
        <v>2.8731425339700984</v>
      </c>
      <c r="W72" s="112">
        <f t="shared" si="41"/>
        <v>0.54764670083760003</v>
      </c>
      <c r="X72" s="500">
        <f t="shared" si="9"/>
        <v>4.9999999999999996E-2</v>
      </c>
      <c r="Y72" s="108">
        <f t="shared" si="18"/>
        <v>2.3923324900643923</v>
      </c>
      <c r="Z72" s="109">
        <f t="shared" si="19"/>
        <v>2.3923324900643923</v>
      </c>
      <c r="AA72" s="109">
        <f t="shared" si="20"/>
        <v>0.76</v>
      </c>
      <c r="AB72" s="102">
        <f t="shared" si="21"/>
        <v>4.8408312251609802</v>
      </c>
      <c r="AC72" s="110">
        <f>+AC67</f>
        <v>36.001297158113729</v>
      </c>
      <c r="AD72" s="111">
        <f t="shared" si="42"/>
        <v>1.9603980325740984</v>
      </c>
      <c r="AF72" s="37">
        <f>+N72-'[2]Table U2'!H73</f>
        <v>-0.88766742387005593</v>
      </c>
      <c r="AJ72" s="33" t="str">
        <f>+VLOOKUP('Table U1'!A72,[2]Regions!G:J,4,0)</f>
        <v>Europe</v>
      </c>
      <c r="AK72" s="33" t="str">
        <f>+VLOOKUP(A72,[2]Regions!G:K,5,0)</f>
        <v>Northern Europe</v>
      </c>
    </row>
    <row r="73" spans="1:37" ht="15.75" customHeight="1" x14ac:dyDescent="0.35">
      <c r="A73" s="1" t="str">
        <f>+IFERROR(IFERROR(VLOOKUP(#REF!,[7]Sheet1!$A$1:$C$65536,3,0),VLOOKUP(B73,[7]Sheet1!$A$1:$C$65536,3,0)),VLOOKUP(#REF!,[7]Sheet1!$A$1:$C$65536,3,0))</f>
        <v>LBN</v>
      </c>
      <c r="B73" s="99" t="str">
        <f>+[2]TableA1!A74</f>
        <v>Lebanon</v>
      </c>
      <c r="C73" s="83">
        <f>+[2]GDPgrowth!H68</f>
        <v>51.605959130000002</v>
      </c>
      <c r="D73" s="84">
        <f>F73*L73</f>
        <v>4.9091482142398633</v>
      </c>
      <c r="E73" s="101"/>
      <c r="F73" s="102">
        <f>IFERROR(VLOOKUP(B73,'[2]CBC- IRS'!A:N,14,0),"")</f>
        <v>0.34442910266413174</v>
      </c>
      <c r="G73" s="103">
        <f t="shared" si="43"/>
        <v>0.34442910266413174</v>
      </c>
      <c r="H73" s="188">
        <f>+'[2]Table U2'!D74</f>
        <v>14.305148127881367</v>
      </c>
      <c r="I73" s="104">
        <f t="shared" si="34"/>
        <v>8.5830888767288194</v>
      </c>
      <c r="J73" s="88">
        <f>IFERROR('Table U1'!O73/VLOOKUP('Table U1'!B73,'[2]Table II.F 1'!A:I,9,0),0.4*H73)</f>
        <v>5.7220592511525474</v>
      </c>
      <c r="K73" s="247">
        <f t="shared" si="39"/>
        <v>14.498782936653996</v>
      </c>
      <c r="L73" s="87">
        <f>+'[2]Table U2'!F74</f>
        <v>14.25300062122507</v>
      </c>
      <c r="M73" s="87">
        <f>(1+0.01)*MAX(0,(TableB10!K74+TableB10!N74+TableB10!O74-TableB10!T74))/1000</f>
        <v>0.2457823154289254</v>
      </c>
      <c r="N73" s="90">
        <f t="shared" si="35"/>
        <v>7.9756353903400932</v>
      </c>
      <c r="O73" s="88">
        <f t="shared" si="28"/>
        <v>2.4578231542892542E-3</v>
      </c>
      <c r="P73" s="87">
        <f>MAX(TableB10!V74-IFERROR(VLOOKUP('Table U1'!A65,'[2]fdiinterest_net (2)'!A:D,3,0)/1000000000,0),0)/1000</f>
        <v>0</v>
      </c>
      <c r="Q73" s="88">
        <f>+IFERROR(VLOOKUP(B73,'[2]SPE FDI income'!A:H,7,0)-VLOOKUP(B73,'[2]SPE FDI income'!A:H,8,0),0)/1000</f>
        <v>0</v>
      </c>
      <c r="R73" s="88">
        <f t="shared" si="40"/>
        <v>7.9731775671858038</v>
      </c>
      <c r="S73" s="88">
        <f>+(TableB10!F74*(G73/(1-G73)))/1000+1%*M73</f>
        <v>2.4578231542892542E-3</v>
      </c>
      <c r="T73" s="88">
        <f>IFERROR(VLOOKUP('Table U1'!A73,[2]fdiinterest_net!A:B,2,0)/1000000000,0)</f>
        <v>0</v>
      </c>
      <c r="U73" s="142"/>
      <c r="V73" s="89">
        <f t="shared" si="36"/>
        <v>14.496325113499706</v>
      </c>
      <c r="W73" s="112">
        <f t="shared" si="41"/>
        <v>6.5231475463139024</v>
      </c>
      <c r="X73" s="500">
        <f t="shared" ref="X73:X90" si="44">+D73/K73</f>
        <v>0.33859036552848676</v>
      </c>
      <c r="Y73" s="108">
        <f t="shared" ref="Y73:Y90" si="45">+L73/H73</f>
        <v>0.9963546335773581</v>
      </c>
      <c r="Z73" s="109">
        <f t="shared" ref="Z73:Z90" si="46">+K73/H73</f>
        <v>1.0135360226291699</v>
      </c>
      <c r="AA73" s="109">
        <f t="shared" ref="AA73:AA90" si="47">+W73/I73</f>
        <v>0.76</v>
      </c>
      <c r="AB73" s="102">
        <f t="shared" ref="AB73:AB90" si="48">+N73/J73</f>
        <v>1.3938400565729245</v>
      </c>
      <c r="AC73" s="110">
        <f>+'[2]Table II.F 1'!I90</f>
        <v>1.2687945133210234</v>
      </c>
      <c r="AD73" s="111">
        <f t="shared" si="42"/>
        <v>3.6268703594641569</v>
      </c>
      <c r="AF73" s="37">
        <f>+N73-'[2]Table U2'!H74</f>
        <v>-2.2214997712708318</v>
      </c>
      <c r="AJ73" s="33" t="str">
        <f>+VLOOKUP('Table U1'!A73,[2]Regions!G:J,4,0)</f>
        <v>Asia</v>
      </c>
      <c r="AK73" s="33" t="str">
        <f>+VLOOKUP(A73,[2]Regions!G:K,5,0)</f>
        <v>Western Asia</v>
      </c>
    </row>
    <row r="74" spans="1:37" ht="15.5" customHeight="1" x14ac:dyDescent="0.35">
      <c r="A74" s="1" t="s">
        <v>309</v>
      </c>
      <c r="B74" s="99" t="str">
        <f>+[2]TableA1!A75</f>
        <v>Liechtenstein</v>
      </c>
      <c r="C74" s="83">
        <f>+[2]GDPgrowth!H69</f>
        <v>6.4272489400000001</v>
      </c>
      <c r="D74" s="84">
        <f>5%*L74</f>
        <v>6.6493504074229784E-2</v>
      </c>
      <c r="E74" s="101">
        <f t="shared" si="33"/>
        <v>0.05</v>
      </c>
      <c r="F74" s="102" t="str">
        <f>IFERROR(VLOOKUP(B74,'[2]CBC- IRS'!A:N,14,0),"")</f>
        <v/>
      </c>
      <c r="G74" s="103">
        <f t="shared" si="43"/>
        <v>0.05</v>
      </c>
      <c r="H74" s="188">
        <f>+'[2]Table U2'!D75</f>
        <v>2.8027438079999998</v>
      </c>
      <c r="I74" s="104">
        <f t="shared" si="34"/>
        <v>1.6816462847999998</v>
      </c>
      <c r="J74" s="88">
        <f>IFERROR('Table U1'!O74/VLOOKUP('Table U1'!B74,'[2]Table II.F 1'!A:I,9,0),0.4*H74)</f>
        <v>1.1210975232</v>
      </c>
      <c r="K74" s="247">
        <f t="shared" si="39"/>
        <v>1.3298700814845956</v>
      </c>
      <c r="L74" s="87">
        <f>+'[2]Table U2'!F75</f>
        <v>1.3298700814845956</v>
      </c>
      <c r="M74" s="87">
        <f>(1+0.01)*MAX(0,(TableB10!K75+TableB10!N75+TableB10!O75-TableB10!T75))/1000</f>
        <v>0</v>
      </c>
      <c r="N74" s="90">
        <f t="shared" si="35"/>
        <v>5.1818905036595808E-2</v>
      </c>
      <c r="O74" s="88">
        <f t="shared" si="28"/>
        <v>0</v>
      </c>
      <c r="P74" s="87">
        <f>MAX(TableB10!V75-IFERROR(VLOOKUP('Table U1'!A66,'[2]fdiinterest_net (2)'!A:D,3,0)/1000000000,0),0)/1000</f>
        <v>0</v>
      </c>
      <c r="Q74" s="88">
        <f>+IFERROR(VLOOKUP(B74,'[2]SPE FDI income'!A:H,7,0)-VLOOKUP(B74,'[2]SPE FDI income'!A:H,8,0),0)/1000</f>
        <v>0</v>
      </c>
      <c r="R74" s="88">
        <f t="shared" si="40"/>
        <v>5.1818905036595808E-2</v>
      </c>
      <c r="S74" s="88">
        <f>+(TableB10!F75*(G74/(1-G74)))/1000+1%*M74</f>
        <v>0</v>
      </c>
      <c r="T74" s="88">
        <f>IFERROR(VLOOKUP('Table U1'!A74,[2]fdiinterest_net!A:B,2,0)/1000000000,0)</f>
        <v>0</v>
      </c>
      <c r="U74" s="142"/>
      <c r="V74" s="89">
        <f t="shared" si="36"/>
        <v>1.3298700814845956</v>
      </c>
      <c r="W74" s="112">
        <f t="shared" si="41"/>
        <v>1.2780511764479998</v>
      </c>
      <c r="X74" s="500">
        <f t="shared" si="44"/>
        <v>0.05</v>
      </c>
      <c r="Y74" s="108">
        <f t="shared" si="45"/>
        <v>0.47448863420505527</v>
      </c>
      <c r="Z74" s="109">
        <f t="shared" si="46"/>
        <v>0.47448863420505527</v>
      </c>
      <c r="AA74" s="109">
        <f t="shared" si="47"/>
        <v>0.76</v>
      </c>
      <c r="AB74" s="102">
        <f t="shared" si="48"/>
        <v>4.6221585512638309E-2</v>
      </c>
      <c r="AC74" s="110">
        <f>+AC67</f>
        <v>36.001297158113729</v>
      </c>
      <c r="AD74" s="111">
        <f t="shared" si="42"/>
        <v>-0.80021521259540418</v>
      </c>
      <c r="AF74" s="37">
        <f>+N74-'[2]Table U2'!H75</f>
        <v>-0.47092303237429822</v>
      </c>
      <c r="AJ74" s="33" t="str">
        <f>+VLOOKUP('Table U1'!A74,[2]Regions!G:J,4,0)</f>
        <v>Europe</v>
      </c>
      <c r="AK74" s="33" t="str">
        <f>+VLOOKUP(A74,[2]Regions!G:K,5,0)</f>
        <v>Western Europe</v>
      </c>
    </row>
    <row r="75" spans="1:37" ht="15.75" customHeight="1" x14ac:dyDescent="0.35">
      <c r="A75" s="1" t="e">
        <f>+IFERROR(IFERROR(VLOOKUP(#REF!,[7]Sheet1!$A$1:$C$65536,3,0),VLOOKUP(B75,[7]Sheet1!$A$1:$C$65536,3,0)),VLOOKUP(#REF!,[7]Sheet1!$A$1:$C$65536,3,0))</f>
        <v>#REF!</v>
      </c>
      <c r="B75" s="99" t="str">
        <f>+[2]TableA1!A76</f>
        <v>Macau</v>
      </c>
      <c r="C75" s="83">
        <f>+[2]GDPgrowth!H70</f>
        <v>55.204758070000004</v>
      </c>
      <c r="D75" s="84">
        <f>F75*L75</f>
        <v>2.4000320417595873E-2</v>
      </c>
      <c r="E75" s="101"/>
      <c r="F75" s="102">
        <f>IFERROR(VLOOKUP(B75,'[2]CBC- IRS'!A:N,14,0),"")</f>
        <v>1.798547364360296E-3</v>
      </c>
      <c r="G75" s="103">
        <f t="shared" si="43"/>
        <v>1.798547364360296E-3</v>
      </c>
      <c r="H75" s="188">
        <f>+'[2]Table U2'!D76</f>
        <v>10.419619588</v>
      </c>
      <c r="I75" s="104">
        <f t="shared" si="34"/>
        <v>6.2517717527999999</v>
      </c>
      <c r="J75" s="88">
        <f>IFERROR('Table U1'!O75/VLOOKUP('Table U1'!B75,'[2]Table II.F 1'!A:I,9,0),0.4*H75)</f>
        <v>4.1678478351999999</v>
      </c>
      <c r="K75" s="247">
        <f t="shared" si="39"/>
        <v>17.793291586247406</v>
      </c>
      <c r="L75" s="87">
        <f>+'[2]Table U2'!F76</f>
        <v>13.34428044163978</v>
      </c>
      <c r="M75" s="87">
        <f>(1+0.01)*MAX(0,(TableB10!K76+TableB10!N76+TableB10!O76-TableB10!T76))/1000</f>
        <v>4.4490111446076268</v>
      </c>
      <c r="N75" s="90">
        <f t="shared" si="35"/>
        <v>13.041945054119406</v>
      </c>
      <c r="O75" s="88">
        <f t="shared" si="28"/>
        <v>2.9807953234460758</v>
      </c>
      <c r="P75" s="87">
        <f>MAX(TableB10!V76-IFERROR(VLOOKUP('Table U1'!A67,'[2]fdiinterest_net (2)'!A:D,3,0)/1000000000,0),0)/1000</f>
        <v>2.9363052119999997</v>
      </c>
      <c r="Q75" s="88">
        <f>+IFERROR(VLOOKUP(B75,'[2]SPE FDI income'!A:H,7,0)-VLOOKUP(B75,'[2]SPE FDI income'!A:H,8,0),0)/1000</f>
        <v>0</v>
      </c>
      <c r="R75" s="88">
        <f t="shared" si="40"/>
        <v>10.061149730673328</v>
      </c>
      <c r="S75" s="88">
        <f>+(TableB10!F76*(G75/(1-G75)))/1000+1%*M75</f>
        <v>4.4490111446076272E-2</v>
      </c>
      <c r="T75" s="88">
        <f>IFERROR(VLOOKUP('Table U1'!A75,[2]fdiinterest_net!A:B,2,0)/1000000000,0)</f>
        <v>0</v>
      </c>
      <c r="U75" s="142"/>
      <c r="V75" s="89">
        <f t="shared" si="36"/>
        <v>14.812496262801329</v>
      </c>
      <c r="W75" s="112">
        <f t="shared" si="41"/>
        <v>4.7513465321280002</v>
      </c>
      <c r="X75" s="500">
        <f t="shared" si="44"/>
        <v>1.3488409551016369E-3</v>
      </c>
      <c r="Y75" s="108">
        <f t="shared" si="45"/>
        <v>1.2806878724255955</v>
      </c>
      <c r="Z75" s="109">
        <f t="shared" si="46"/>
        <v>1.707671900684308</v>
      </c>
      <c r="AA75" s="109">
        <f t="shared" si="47"/>
        <v>0.76</v>
      </c>
      <c r="AB75" s="102">
        <f t="shared" si="48"/>
        <v>3.1291797517107698</v>
      </c>
      <c r="AC75" s="110">
        <f>+AC73</f>
        <v>1.2687945133210234</v>
      </c>
      <c r="AD75" s="111">
        <f t="shared" si="42"/>
        <v>9.8743806993674053</v>
      </c>
      <c r="AF75" s="37">
        <f>+N75-'[2]Table U2'!H76</f>
        <v>1.8952463984576173</v>
      </c>
      <c r="AJ75" s="33" t="e">
        <f>+VLOOKUP('Table U1'!A75,[2]Regions!G:J,4,0)</f>
        <v>#REF!</v>
      </c>
      <c r="AK75" s="33" t="e">
        <f>+VLOOKUP(A75,[2]Regions!G:K,5,0)</f>
        <v>#REF!</v>
      </c>
    </row>
    <row r="76" spans="1:37" ht="15.75" customHeight="1" x14ac:dyDescent="0.35">
      <c r="A76" s="1" t="str">
        <f>+IFERROR(IFERROR(VLOOKUP(#REF!,[7]Sheet1!$A$1:$C$65536,3,0),VLOOKUP(B76,[7]Sheet1!$A$1:$C$65536,3,0)),VLOOKUP(#REF!,[7]Sheet1!$A$1:$C$65536,3,0))</f>
        <v>MLT</v>
      </c>
      <c r="B76" s="99" t="s">
        <v>109</v>
      </c>
      <c r="C76" s="83">
        <f>+[2]GDPgrowth!H71</f>
        <v>15.71950092</v>
      </c>
      <c r="D76" s="84">
        <f>+VLOOKUP($A76,[2]globaltaxrev!A:B,2,0)</f>
        <v>0.85496000000000005</v>
      </c>
      <c r="E76" s="101">
        <f t="shared" si="33"/>
        <v>0.35672779136658644</v>
      </c>
      <c r="F76" s="102">
        <f>IFERROR(VLOOKUP(B76,'[2]CBC- IRS'!A:N,14,0),"")</f>
        <v>2.4297133358611764E-2</v>
      </c>
      <c r="G76" s="103">
        <f t="shared" si="43"/>
        <v>2.4297133358611764E-2</v>
      </c>
      <c r="H76" s="188">
        <f>+'[2]Table U2'!D77</f>
        <v>2.8233802191000006</v>
      </c>
      <c r="I76" s="104">
        <f>+H76-J76</f>
        <v>1.6940281314600003</v>
      </c>
      <c r="J76" s="88">
        <f>IFERROR('Table U1'!O76/VLOOKUP('Table U1'!B76,'[2]Table II.F 1'!A:I,9,0),0.4*H76)</f>
        <v>1.1293520876400003</v>
      </c>
      <c r="K76" s="247">
        <f t="shared" si="39"/>
        <v>12.336054085866621</v>
      </c>
      <c r="L76" s="87">
        <f>+'[2]Table U2'!F77</f>
        <v>2.3966733758666199</v>
      </c>
      <c r="M76" s="87">
        <f>(1+0.01)*MAX(0,(TableB10!V77))/1000</f>
        <v>9.9393807100000018</v>
      </c>
      <c r="N76" s="90">
        <f t="shared" si="35"/>
        <v>11.04859270595702</v>
      </c>
      <c r="O76" s="88">
        <f t="shared" si="28"/>
        <v>10.199549239528972</v>
      </c>
      <c r="P76" s="87">
        <f>MAX(TableB10!V77-IFERROR(VLOOKUP('Table U1'!A68,'[2]fdiinterest_net (2)'!A:D,3,0)/1000000000,0),0)/1000</f>
        <v>9.8409710000000015</v>
      </c>
      <c r="Q76" s="88">
        <f>+IFERROR(VLOOKUP(B76,'[2]SPE FDI income'!A:H,7,0)-VLOOKUP(B76,'[2]SPE FDI income'!A:H,8,0),0)/1000</f>
        <v>0</v>
      </c>
      <c r="R76" s="88">
        <f>+L76+M76-W76-P76-S76</f>
        <v>0.84904346642804884</v>
      </c>
      <c r="S76" s="88">
        <f>+(TableB10!F77*(G76/(1-G76)))/1000+1%*M76</f>
        <v>0.35857823952896989</v>
      </c>
      <c r="T76" s="88">
        <f>IFERROR(VLOOKUP('Table U1'!A76,[2]fdiinterest_net!A:B,2,0)/1000000000,0)</f>
        <v>-2.0436589809099998E-3</v>
      </c>
      <c r="U76" s="142"/>
      <c r="V76" s="89">
        <f t="shared" si="36"/>
        <v>2.1365048463376497</v>
      </c>
      <c r="W76" s="112">
        <f t="shared" si="41"/>
        <v>1.2874613799096002</v>
      </c>
      <c r="X76" s="500">
        <f t="shared" si="44"/>
        <v>6.9305792115448406E-2</v>
      </c>
      <c r="Y76" s="108">
        <f t="shared" si="45"/>
        <v>0.84886667394397186</v>
      </c>
      <c r="Z76" s="109">
        <f t="shared" si="46"/>
        <v>4.3692500225134197</v>
      </c>
      <c r="AA76" s="109">
        <f t="shared" si="47"/>
        <v>0.76</v>
      </c>
      <c r="AB76" s="102">
        <f t="shared" si="48"/>
        <v>9.7831250562835486</v>
      </c>
      <c r="AC76" s="110">
        <f>+AC70</f>
        <v>36.001297158113729</v>
      </c>
      <c r="AD76" s="111">
        <f t="shared" si="42"/>
        <v>10.190285119350621</v>
      </c>
      <c r="AF76" s="37">
        <f>+N76-'[2]Table U2'!H77</f>
        <v>-2.1577901465953122</v>
      </c>
      <c r="AJ76" s="33" t="str">
        <f>+VLOOKUP('Table U1'!A76,[2]Regions!G:J,4,0)</f>
        <v>Europe</v>
      </c>
      <c r="AK76" s="33" t="str">
        <f>+VLOOKUP(A76,[2]Regions!G:K,5,0)</f>
        <v>Southern Europe</v>
      </c>
    </row>
    <row r="77" spans="1:37" ht="15.75" customHeight="1" x14ac:dyDescent="0.35">
      <c r="A77" s="1" t="e">
        <f>+IFERROR(IFERROR(VLOOKUP(#REF!,[7]Sheet1!$A$1:$C$65536,3,0),VLOOKUP(B77,[7]Sheet1!$A$1:$C$65536,3,0)),VLOOKUP(#REF!,[7]Sheet1!$A$1:$C$65536,3,0))</f>
        <v>#REF!</v>
      </c>
      <c r="B77" s="99" t="s">
        <v>110</v>
      </c>
      <c r="C77" s="83">
        <f>+[2]GDPgrowth!H72</f>
        <v>0.23946219999999999</v>
      </c>
      <c r="D77" s="84">
        <f>5%*L77</f>
        <v>1.7703636186242992E-3</v>
      </c>
      <c r="E77" s="101">
        <f t="shared" si="33"/>
        <v>0.05</v>
      </c>
      <c r="F77" s="102" t="str">
        <f>IFERROR(VLOOKUP(B77,'[2]CBC- IRS'!A:N,14,0),"")</f>
        <v/>
      </c>
      <c r="G77" s="103">
        <f t="shared" si="43"/>
        <v>0.05</v>
      </c>
      <c r="H77" s="188">
        <f>+'[2]Table U2'!D78</f>
        <v>8.6105939198719991E-2</v>
      </c>
      <c r="I77" s="104">
        <f t="shared" si="34"/>
        <v>5.1663563519231993E-2</v>
      </c>
      <c r="J77" s="88">
        <f>IFERROR('Table U1'!O77/VLOOKUP('Table U1'!B77,'[2]Table II.F 1'!A:I,9,0),0.4*H77)</f>
        <v>3.4442375679487998E-2</v>
      </c>
      <c r="K77" s="247">
        <f t="shared" si="39"/>
        <v>0.13288674969364711</v>
      </c>
      <c r="L77" s="87">
        <f>+'[2]Table U2'!F78</f>
        <v>3.5407272372485983E-2</v>
      </c>
      <c r="M77" s="87">
        <f>(1+0.01)*MAX(0,(TableB10!K78+TableB10!N78+TableB10!O78-TableB10!T78))/1000</f>
        <v>9.747947732116112E-2</v>
      </c>
      <c r="N77" s="90">
        <f t="shared" si="35"/>
        <v>9.3622441419030783E-2</v>
      </c>
      <c r="O77" s="88">
        <f t="shared" si="28"/>
        <v>5.7153794773211614E-2</v>
      </c>
      <c r="P77" s="87">
        <f>MAX(TableB10!V78-IFERROR(VLOOKUP('Table U1'!A69,'[2]fdiinterest_net (2)'!A:D,3,0)/1000000000,0),0)/1000</f>
        <v>5.6179E-2</v>
      </c>
      <c r="Q77" s="88">
        <f>+IFERROR(VLOOKUP(B77,'[2]SPE FDI income'!A:H,7,0)-VLOOKUP(B77,'[2]SPE FDI income'!A:H,8,0),0)/1000</f>
        <v>0</v>
      </c>
      <c r="R77" s="88">
        <f t="shared" si="40"/>
        <v>3.6468646645819183E-2</v>
      </c>
      <c r="S77" s="88">
        <f>+(TableB10!F78*(G77/(1-G77)))/1000+1%*M77</f>
        <v>9.7479477321161124E-4</v>
      </c>
      <c r="T77" s="88">
        <f>IFERROR(VLOOKUP('Table U1'!A77,[2]fdiinterest_net!A:B,2,0)/1000000000,0)</f>
        <v>0</v>
      </c>
      <c r="U77" s="142"/>
      <c r="V77" s="89">
        <f t="shared" si="36"/>
        <v>7.5732954920435497E-2</v>
      </c>
      <c r="W77" s="112">
        <f t="shared" si="41"/>
        <v>3.9264308274616314E-2</v>
      </c>
      <c r="X77" s="500">
        <f t="shared" si="44"/>
        <v>1.3322348712009581E-2</v>
      </c>
      <c r="Y77" s="108">
        <f t="shared" si="45"/>
        <v>0.41120592495682723</v>
      </c>
      <c r="Z77" s="109">
        <f t="shared" si="46"/>
        <v>1.5432936558181405</v>
      </c>
      <c r="AA77" s="109">
        <f t="shared" si="47"/>
        <v>0.76</v>
      </c>
      <c r="AB77" s="102">
        <f t="shared" si="48"/>
        <v>2.7182341395453511</v>
      </c>
      <c r="AC77" s="110">
        <f>+AC75</f>
        <v>1.2687945133210234</v>
      </c>
      <c r="AD77" s="111">
        <f t="shared" si="42"/>
        <v>6.7446235902619903E-2</v>
      </c>
      <c r="AF77" s="37">
        <f>+N77-'[2]Table U2'!H78</f>
        <v>8.3011772539455228E-2</v>
      </c>
      <c r="AJ77" s="33" t="e">
        <f>+VLOOKUP('Table U1'!A77,[2]Regions!G:J,4,0)</f>
        <v>#REF!</v>
      </c>
      <c r="AK77" s="33" t="e">
        <f>+VLOOKUP(A77,[2]Regions!G:K,5,0)</f>
        <v>#REF!</v>
      </c>
    </row>
    <row r="78" spans="1:37" ht="15.75" customHeight="1" x14ac:dyDescent="0.35">
      <c r="A78" s="1" t="s">
        <v>310</v>
      </c>
      <c r="B78" s="99" t="str">
        <f>+[2]TableA1!A79</f>
        <v>Monaco</v>
      </c>
      <c r="C78" s="83">
        <f>+[2]GDPgrowth!H73</f>
        <v>7.3837456599999998</v>
      </c>
      <c r="D78" s="84">
        <f>F78*L78</f>
        <v>0.36813352700191126</v>
      </c>
      <c r="E78" s="101"/>
      <c r="F78" s="102">
        <f>IFERROR(VLOOKUP(B78,'[2]CBC- IRS'!A:N,14,0),"")</f>
        <v>0.14424448882828092</v>
      </c>
      <c r="G78" s="103">
        <f t="shared" si="43"/>
        <v>0.14424448882828092</v>
      </c>
      <c r="H78" s="188">
        <f>+'[2]Table U2'!D79</f>
        <v>1.0668089780000001</v>
      </c>
      <c r="I78" s="104">
        <f t="shared" si="34"/>
        <v>0.64008538680000004</v>
      </c>
      <c r="J78" s="88">
        <f>IFERROR('Table U1'!O78/VLOOKUP('Table U1'!B78,'[2]Table II.F 1'!A:I,9,0),0.4*H78)</f>
        <v>0.42672359120000003</v>
      </c>
      <c r="K78" s="247">
        <f t="shared" si="39"/>
        <v>2.594467850337292</v>
      </c>
      <c r="L78" s="87">
        <f>+'[2]Table U2'!F79</f>
        <v>2.5521496869122262</v>
      </c>
      <c r="M78" s="87">
        <f>(1+0.01)*MAX(0,(TableB10!K79+TableB10!N79+TableB10!O79-TableB10!T79))/1000</f>
        <v>4.2318163425065738E-2</v>
      </c>
      <c r="N78" s="90">
        <f t="shared" si="35"/>
        <v>2.1080029563692921</v>
      </c>
      <c r="O78" s="88">
        <f t="shared" si="28"/>
        <v>2.8352768634250656E-2</v>
      </c>
      <c r="P78" s="87">
        <f>MAX(TableB10!V79-IFERROR(VLOOKUP('Table U1'!A70,'[2]fdiinterest_net (2)'!A:D,3,0)/1000000000,0),0)/1000</f>
        <v>2.7929586999999999E-2</v>
      </c>
      <c r="Q78" s="88">
        <f>+IFERROR(VLOOKUP(B78,'[2]SPE FDI income'!A:H,7,0)-VLOOKUP(B78,'[2]SPE FDI income'!A:H,8,0),0)/1000</f>
        <v>0</v>
      </c>
      <c r="R78" s="88">
        <f t="shared" si="40"/>
        <v>2.0796501877350413</v>
      </c>
      <c r="S78" s="88">
        <f>+(TableB10!F79*(G78/(1-G78)))/1000+1%*M78</f>
        <v>4.2318163425065738E-4</v>
      </c>
      <c r="T78" s="88">
        <f>IFERROR(VLOOKUP('Table U1'!A78,[2]fdiinterest_net!A:B,2,0)/1000000000,0)</f>
        <v>0</v>
      </c>
      <c r="U78" s="142"/>
      <c r="V78" s="89">
        <f t="shared" si="36"/>
        <v>2.5661150817030411</v>
      </c>
      <c r="W78" s="112">
        <f t="shared" si="41"/>
        <v>0.48646489396800002</v>
      </c>
      <c r="X78" s="500">
        <f t="shared" si="44"/>
        <v>0.14189172818389417</v>
      </c>
      <c r="Y78" s="108">
        <f t="shared" si="45"/>
        <v>2.3923211554676529</v>
      </c>
      <c r="Z78" s="109">
        <f t="shared" si="46"/>
        <v>2.4319891412999448</v>
      </c>
      <c r="AA78" s="109">
        <f t="shared" si="47"/>
        <v>0.76</v>
      </c>
      <c r="AB78" s="102">
        <f t="shared" si="48"/>
        <v>4.9399728532498628</v>
      </c>
      <c r="AC78" s="110">
        <f>+AC70</f>
        <v>36.001297158113729</v>
      </c>
      <c r="AD78" s="111">
        <f t="shared" si="42"/>
        <v>1.7836930270572922</v>
      </c>
      <c r="AF78" s="37">
        <f>+N78-'[2]Table U2'!H79</f>
        <v>-0.13692937159754548</v>
      </c>
      <c r="AJ78" s="33" t="str">
        <f>+VLOOKUP('Table U1'!A78,[2]Regions!G:J,4,0)</f>
        <v>Europe</v>
      </c>
      <c r="AK78" s="33" t="str">
        <f>+VLOOKUP(A78,[2]Regions!G:K,5,0)</f>
        <v>Western Europe</v>
      </c>
    </row>
    <row r="79" spans="1:37" ht="15.75" customHeight="1" x14ac:dyDescent="0.35">
      <c r="A79" s="1" t="s">
        <v>311</v>
      </c>
      <c r="B79" s="99" t="str">
        <f>+[2]TableA1!A80</f>
        <v>Sint Maarten</v>
      </c>
      <c r="C79" s="83">
        <f>+[2]GDPgrowth!H74</f>
        <v>0.81963768599999987</v>
      </c>
      <c r="D79" s="84">
        <f>5%*L79</f>
        <v>1.7753436415743239E-2</v>
      </c>
      <c r="E79" s="101">
        <f t="shared" si="33"/>
        <v>0.05</v>
      </c>
      <c r="F79" s="102" t="str">
        <f>IFERROR(VLOOKUP(B79,'[2]CBC- IRS'!A:N,14,0),"")</f>
        <v/>
      </c>
      <c r="G79" s="103">
        <f t="shared" si="43"/>
        <v>0.05</v>
      </c>
      <c r="H79" s="188">
        <f>+'[2]Table U2'!D80</f>
        <v>0.14842073889999999</v>
      </c>
      <c r="I79" s="104">
        <f t="shared" si="34"/>
        <v>8.9052443339999982E-2</v>
      </c>
      <c r="J79" s="88">
        <f>IFERROR('Table U1'!O79/VLOOKUP('Table U1'!B79,'[2]Table II.F 1'!A:I,9,0),0.4*H79)</f>
        <v>5.9368295559999999E-2</v>
      </c>
      <c r="K79" s="247">
        <f t="shared" si="39"/>
        <v>0.35506872831486475</v>
      </c>
      <c r="L79" s="87">
        <f>+'[2]Table U2'!F80</f>
        <v>0.35506872831486475</v>
      </c>
      <c r="M79" s="87">
        <f>(1+0.01)*MAX(0,(TableB10!K80+TableB10!N80+TableB10!O80-TableB10!T80))/1000</f>
        <v>0</v>
      </c>
      <c r="N79" s="90">
        <f t="shared" si="35"/>
        <v>0.28738887137646474</v>
      </c>
      <c r="O79" s="88">
        <f t="shared" si="28"/>
        <v>0</v>
      </c>
      <c r="P79" s="87">
        <f>MAX(TableB10!V80-IFERROR(VLOOKUP('Table U1'!A71,'[2]fdiinterest_net (2)'!A:D,3,0)/1000000000,0),0)/1000</f>
        <v>0</v>
      </c>
      <c r="Q79" s="88">
        <f>+IFERROR(VLOOKUP(B79,'[2]SPE FDI income'!A:H,7,0)-VLOOKUP(B79,'[2]SPE FDI income'!A:H,8,0),0)/1000</f>
        <v>0</v>
      </c>
      <c r="R79" s="88">
        <f t="shared" si="40"/>
        <v>0.28738887137646474</v>
      </c>
      <c r="S79" s="88">
        <f>+(TableB10!F80*(G79/(1-G79)))/1000+1%*M79</f>
        <v>0</v>
      </c>
      <c r="T79" s="88">
        <f>IFERROR(VLOOKUP('Table U1'!A79,[2]fdiinterest_net!A:B,2,0)/1000000000,0)</f>
        <v>0</v>
      </c>
      <c r="U79" s="142"/>
      <c r="V79" s="89">
        <f t="shared" si="36"/>
        <v>0.35506872831486475</v>
      </c>
      <c r="W79" s="112">
        <f t="shared" si="41"/>
        <v>6.7679856938399993E-2</v>
      </c>
      <c r="X79" s="500">
        <f t="shared" si="44"/>
        <v>0.05</v>
      </c>
      <c r="Y79" s="108">
        <f t="shared" si="45"/>
        <v>2.3923120916012688</v>
      </c>
      <c r="Z79" s="109">
        <f t="shared" si="46"/>
        <v>2.3923120916012688</v>
      </c>
      <c r="AA79" s="109">
        <f t="shared" si="47"/>
        <v>0.76000000000000012</v>
      </c>
      <c r="AB79" s="102">
        <f t="shared" si="48"/>
        <v>4.8407802290031707</v>
      </c>
      <c r="AC79" s="110">
        <f>+AC57</f>
        <v>0.95014955134596213</v>
      </c>
      <c r="AD79" s="111">
        <f t="shared" si="42"/>
        <v>0.24226896675086473</v>
      </c>
      <c r="AF79" s="37">
        <f>+N79-'[2]Table U2'!H80</f>
        <v>-2.9032553517684412E-2</v>
      </c>
      <c r="AJ79" s="33" t="str">
        <f>+VLOOKUP('Table U1'!A79,[2]Regions!G:J,4,0)</f>
        <v>Americas</v>
      </c>
      <c r="AK79" s="33" t="str">
        <f>+VLOOKUP(A79,[2]Regions!G:K,5,0)</f>
        <v>Latin America and the Caribbean</v>
      </c>
    </row>
    <row r="80" spans="1:37" ht="15.75" customHeight="1" x14ac:dyDescent="0.35">
      <c r="A80" s="1" t="str">
        <f>+IFERROR(IFERROR(VLOOKUP(#REF!,[7]Sheet1!$A$1:$C$65536,3,0),VLOOKUP(B80,[7]Sheet1!$A$1:$C$65536,3,0)),VLOOKUP(#REF!,[7]Sheet1!$A$1:$C$65536,3,0))</f>
        <v>MUS</v>
      </c>
      <c r="B80" s="99" t="str">
        <f>+[2]TableA1!A81</f>
        <v>Mauritius</v>
      </c>
      <c r="C80" s="83">
        <f>+[2]GDPgrowth!H75</f>
        <v>14.045808839999999</v>
      </c>
      <c r="D80" s="84">
        <f>+VLOOKUP($A80,[2]globaltaxrev!A:B,2,0)</f>
        <v>0.41905999999999999</v>
      </c>
      <c r="E80" s="101">
        <f t="shared" si="33"/>
        <v>6.20478560177498E-2</v>
      </c>
      <c r="F80" s="102">
        <f>IFERROR(VLOOKUP(B80,'[2]CBC- IRS'!A:N,14,0),"")</f>
        <v>0.14314477664941458</v>
      </c>
      <c r="G80" s="103">
        <f t="shared" si="43"/>
        <v>6.20478560177498E-2</v>
      </c>
      <c r="H80" s="188">
        <f>+'[2]Table U2'!D81</f>
        <v>0.35959443200000002</v>
      </c>
      <c r="I80" s="104">
        <f t="shared" si="34"/>
        <v>0.21575665920000001</v>
      </c>
      <c r="J80" s="88">
        <f>IFERROR('Table U1'!O80/VLOOKUP('Table U1'!B80,'[2]Table II.F 1'!A:I,9,0),0.4*H80)</f>
        <v>0.14383777280000001</v>
      </c>
      <c r="K80" s="247">
        <f t="shared" si="39"/>
        <v>7.7079606612222049</v>
      </c>
      <c r="L80" s="87">
        <f>+'[2]Table U2'!F81</f>
        <v>6.7538191791851929</v>
      </c>
      <c r="M80" s="87">
        <f>(1+0.01)*MAX(0,(TableB10!K81+TableB10!N81+TableB10!O81-TableB10!T81))/1000</f>
        <v>0.95414148203701199</v>
      </c>
      <c r="N80" s="90">
        <f t="shared" si="35"/>
        <v>7.5439856002302053</v>
      </c>
      <c r="O80" s="88">
        <f t="shared" si="28"/>
        <v>9.5414148203701206E-3</v>
      </c>
      <c r="P80" s="87">
        <f>MAX(TableB10!V81-IFERROR(VLOOKUP('Table U1'!A72,'[2]fdiinterest_net (2)'!A:D,3,0)/1000000000,0),0)/1000</f>
        <v>0</v>
      </c>
      <c r="Q80" s="88">
        <f>+IFERROR(VLOOKUP(B80,'[2]SPE FDI income'!A:H,7,0)-VLOOKUP(B80,'[2]SPE FDI income'!A:H,8,0),0)/1000</f>
        <v>0</v>
      </c>
      <c r="R80" s="88">
        <f t="shared" si="40"/>
        <v>7.5344441854098347</v>
      </c>
      <c r="S80" s="88">
        <f>+(TableB10!F81*(G80/(1-G80)))/1000+1%*M80</f>
        <v>9.5414148203701206E-3</v>
      </c>
      <c r="T80" s="88">
        <f>IFERROR(VLOOKUP('Table U1'!A80,[2]fdiinterest_net!A:B,2,0)/1000000000,0)</f>
        <v>0</v>
      </c>
      <c r="U80" s="142"/>
      <c r="V80" s="89">
        <f t="shared" si="36"/>
        <v>7.6984192464018344</v>
      </c>
      <c r="W80" s="112">
        <f t="shared" si="41"/>
        <v>0.16397506099200002</v>
      </c>
      <c r="X80" s="500">
        <f t="shared" si="44"/>
        <v>5.4367169011154785E-2</v>
      </c>
      <c r="Y80" s="108">
        <f t="shared" si="45"/>
        <v>18.781767953473743</v>
      </c>
      <c r="Z80" s="109">
        <f t="shared" si="46"/>
        <v>21.43515020060768</v>
      </c>
      <c r="AA80" s="109">
        <f t="shared" si="47"/>
        <v>0.76</v>
      </c>
      <c r="AB80" s="102">
        <f t="shared" si="48"/>
        <v>52.447875501519199</v>
      </c>
      <c r="AC80" s="110">
        <f>+'[2]Table II.F 1'!I68</f>
        <v>2.7961456102783724</v>
      </c>
      <c r="AD80" s="111">
        <f t="shared" si="42"/>
        <v>7.4346688929022058</v>
      </c>
      <c r="AF80" s="37">
        <f>+N80-'[2]Table U2'!H81</f>
        <v>0.25450764816337301</v>
      </c>
      <c r="AJ80" s="33" t="str">
        <f>+VLOOKUP('Table U1'!A80,[2]Regions!G:J,4,0)</f>
        <v>Africa</v>
      </c>
      <c r="AK80" s="33" t="str">
        <f>+VLOOKUP(A80,[2]Regions!G:K,5,0)</f>
        <v>Sub-Saharan Africa</v>
      </c>
    </row>
    <row r="81" spans="1:37" ht="15.75" customHeight="1" x14ac:dyDescent="0.35">
      <c r="A81" s="1" t="str">
        <f>+IFERROR(IFERROR(VLOOKUP(#REF!,[7]Sheet1!$A$1:$C$65536,3,0),VLOOKUP(B81,[7]Sheet1!$A$1:$C$65536,3,0)),VLOOKUP(#REF!,[7]Sheet1!$A$1:$C$65536,3,0))</f>
        <v>SYC</v>
      </c>
      <c r="B81" s="99" t="str">
        <f>+[2]TableA1!A82</f>
        <v>Seychelles</v>
      </c>
      <c r="C81" s="83">
        <f>+[2]GDPgrowth!H76</f>
        <v>1.6842285300000002</v>
      </c>
      <c r="D81" s="84">
        <f>+VLOOKUP($A81,[2]globaltaxrev!A:B,2,0)</f>
        <v>0.11237999999999999</v>
      </c>
      <c r="E81" s="101">
        <f t="shared" si="33"/>
        <v>0.13424247544249954</v>
      </c>
      <c r="F81" s="102" t="str">
        <f>IFERROR(VLOOKUP(B81,'[2]CBC- IRS'!A:N,14,0),"")</f>
        <v/>
      </c>
      <c r="G81" s="103">
        <f t="shared" si="43"/>
        <v>0.13424247544249954</v>
      </c>
      <c r="H81" s="188">
        <f>+'[2]Table U2'!D82</f>
        <v>7.188576332671999E-2</v>
      </c>
      <c r="I81" s="104">
        <f t="shared" si="34"/>
        <v>4.3131457996031991E-2</v>
      </c>
      <c r="J81" s="88">
        <f>IFERROR('Table U1'!O81/VLOOKUP('Table U1'!B81,'[2]Table II.F 1'!A:I,9,0),0.4*H81)</f>
        <v>2.8754305330687999E-2</v>
      </c>
      <c r="K81" s="247">
        <f t="shared" si="39"/>
        <v>1.0274834456667719</v>
      </c>
      <c r="L81" s="87">
        <f>+'[2]Table U2'!F82</f>
        <v>0.83714189290360663</v>
      </c>
      <c r="M81" s="87">
        <f>(1+0.01)*MAX(0,(TableB10!K82+TableB10!N82+TableB10!O82-TableB10!T82))/1000</f>
        <v>0.19034155276316517</v>
      </c>
      <c r="N81" s="90">
        <f t="shared" si="35"/>
        <v>0.99470353758978769</v>
      </c>
      <c r="O81" s="88">
        <f t="shared" si="28"/>
        <v>0.17339409485342983</v>
      </c>
      <c r="P81" s="87">
        <f>MAX(TableB10!V82-IFERROR(VLOOKUP('Table U1'!A73,'[2]fdiinterest_net (2)'!A:D,3,0)/1000000000,0),0)/1000</f>
        <v>0.16170699999999999</v>
      </c>
      <c r="Q81" s="88">
        <f>+IFERROR(VLOOKUP(B81,'[2]SPE FDI income'!A:H,7,0)-VLOOKUP(B81,'[2]SPE FDI income'!A:H,8,0),0)/1000</f>
        <v>0</v>
      </c>
      <c r="R81" s="88">
        <f t="shared" si="40"/>
        <v>0.82130944273635786</v>
      </c>
      <c r="S81" s="88">
        <f>+(TableB10!F82*(G81/(1-G81)))/1000+1%*M81</f>
        <v>1.1687094853429825E-2</v>
      </c>
      <c r="T81" s="88">
        <f>IFERROR(VLOOKUP('Table U1'!A81,[2]fdiinterest_net!A:B,2,0)/1000000000,0)</f>
        <v>-4.5310576999999999E-4</v>
      </c>
      <c r="U81" s="142"/>
      <c r="V81" s="89">
        <f t="shared" si="36"/>
        <v>0.85408935081334203</v>
      </c>
      <c r="W81" s="112">
        <f t="shared" si="41"/>
        <v>3.2779908076984311E-2</v>
      </c>
      <c r="X81" s="500">
        <f t="shared" si="44"/>
        <v>0.10937402492852084</v>
      </c>
      <c r="Y81" s="108">
        <f t="shared" si="45"/>
        <v>11.645447640290138</v>
      </c>
      <c r="Z81" s="109">
        <f t="shared" si="46"/>
        <v>14.293281424819419</v>
      </c>
      <c r="AA81" s="109">
        <f t="shared" si="47"/>
        <v>0.76</v>
      </c>
      <c r="AB81" s="102">
        <f t="shared" si="48"/>
        <v>34.593203562048551</v>
      </c>
      <c r="AC81" s="110">
        <f>+AC56</f>
        <v>0.95014955134596213</v>
      </c>
      <c r="AD81" s="111">
        <f t="shared" si="42"/>
        <v>0.97285026553846488</v>
      </c>
      <c r="AF81" s="37">
        <f>+N81-'[2]Table U2'!H82</f>
        <v>0.1610081861655468</v>
      </c>
      <c r="AJ81" s="33" t="str">
        <f>+VLOOKUP('Table U1'!A81,[2]Regions!G:J,4,0)</f>
        <v>Africa</v>
      </c>
      <c r="AK81" s="33" t="str">
        <f>+VLOOKUP(A81,[2]Regions!G:K,5,0)</f>
        <v>Sub-Saharan Africa</v>
      </c>
    </row>
    <row r="82" spans="1:37" s="57" customFormat="1" ht="15.75" customHeight="1" x14ac:dyDescent="0.35">
      <c r="A82" s="1" t="str">
        <f>+IFERROR(IFERROR(VLOOKUP(#REF!,[7]Sheet1!$A$1:$C$65536,3,0),VLOOKUP(B82,[7]Sheet1!$A$1:$C$65536,3,0)),VLOOKUP(#REF!,[7]Sheet1!$A$1:$C$65536,3,0))</f>
        <v>SGP</v>
      </c>
      <c r="B82" s="99" t="str">
        <f>+[2]TableA1!A83</f>
        <v>Singapore</v>
      </c>
      <c r="C82" s="83">
        <f>+[2]GDPgrowth!H77</f>
        <v>375.47273127</v>
      </c>
      <c r="D82" s="84">
        <f>+VLOOKUP($A82,[2]globaltaxrev!A:B,2,0)</f>
        <v>14.764110000000001</v>
      </c>
      <c r="E82" s="101" t="str">
        <f>+IFERROR(D82/#REF!,"")</f>
        <v/>
      </c>
      <c r="F82" s="102">
        <f>IFERROR(VLOOKUP(B82,'[2]CBC- IRS'!A:N,14,0),"")</f>
        <v>3.2415918920703397E-2</v>
      </c>
      <c r="G82" s="103">
        <f t="shared" si="43"/>
        <v>3.2415918920703397E-2</v>
      </c>
      <c r="H82" s="188">
        <f>+[2]Singapore!M7/1000</f>
        <v>115.0838398813936</v>
      </c>
      <c r="I82" s="104">
        <f t="shared" si="34"/>
        <v>66.390872112767312</v>
      </c>
      <c r="J82" s="88">
        <f>IFERROR('Table U1'!O82/VLOOKUP('Table U1'!B82,'[2]Table II.F 1'!A:I,9,0),0.4*H82)</f>
        <v>48.692967768626296</v>
      </c>
      <c r="K82" s="247">
        <f>+M82+L82</f>
        <v>361.45589325426243</v>
      </c>
      <c r="L82" s="87">
        <f>+[2]Singapore!M8</f>
        <v>361.45589325426243</v>
      </c>
      <c r="M82" s="87">
        <v>0</v>
      </c>
      <c r="N82" s="90">
        <f t="shared" si="35"/>
        <v>169.31983430476993</v>
      </c>
      <c r="O82" s="88">
        <f t="shared" si="28"/>
        <v>136.87322272161816</v>
      </c>
      <c r="P82" s="87">
        <f>MAX(TableB10!V83-IFERROR(VLOOKUP('Table U1'!A74,'[2]fdiinterest_net (2)'!A:D,3,0)/1000000000,0),0)/1000</f>
        <v>132.09342588880654</v>
      </c>
      <c r="Q82" s="88">
        <f>+IFERROR(VLOOKUP(B82,'[2]SPE FDI income'!A:H,7,0)-VLOOKUP(B82,'[2]SPE FDI income'!A:H,8,0),0)/1000</f>
        <v>0</v>
      </c>
      <c r="R82" s="88">
        <f>+L82-U82+M82-W82-P82-S82</f>
        <v>32.446611583151757</v>
      </c>
      <c r="S82" s="88">
        <f>+(TableB10!F83*(G82/(1-G82)))/1000+1%*M82</f>
        <v>4.7797968328116358</v>
      </c>
      <c r="T82" s="88">
        <f>IFERROR(VLOOKUP('Table U1'!A82,[2]fdiinterest_net!A:B,2,0)/1000000000,0)</f>
        <v>0</v>
      </c>
      <c r="U82" s="142">
        <f>+[2]Singapore!M9</f>
        <v>141.67899614378933</v>
      </c>
      <c r="V82" s="89">
        <f t="shared" si="36"/>
        <v>224.58267053264427</v>
      </c>
      <c r="W82" s="112">
        <f t="shared" si="41"/>
        <v>50.45706280570316</v>
      </c>
      <c r="X82" s="500">
        <f t="shared" si="44"/>
        <v>4.0846228476386574E-2</v>
      </c>
      <c r="Y82" s="108">
        <f t="shared" si="45"/>
        <v>3.1408049438286207</v>
      </c>
      <c r="Z82" s="109">
        <f t="shared" si="46"/>
        <v>3.1408049438286207</v>
      </c>
      <c r="AA82" s="109">
        <f t="shared" si="47"/>
        <v>0.76</v>
      </c>
      <c r="AB82" s="102">
        <f t="shared" si="48"/>
        <v>3.4772954302010231</v>
      </c>
      <c r="AC82" s="110">
        <f>+IFERROR(VLOOKUP(B82,'[2]Table II.F 1'!A:I,9,0),"")</f>
        <v>2.8109443518003827</v>
      </c>
      <c r="AD82" s="111">
        <f t="shared" si="42"/>
        <v>132.31317880061394</v>
      </c>
      <c r="AF82" s="37">
        <f>+N82-'[2]Table U2'!H83</f>
        <v>79.406152980402126</v>
      </c>
      <c r="AJ82" s="33" t="str">
        <f>+VLOOKUP('Table U1'!A82,[2]Regions!G:J,4,0)</f>
        <v>Asia</v>
      </c>
      <c r="AK82" s="33" t="str">
        <f>+VLOOKUP(A82,[2]Regions!G:K,5,0)</f>
        <v>South-eastern Asia</v>
      </c>
    </row>
    <row r="83" spans="1:37" ht="15.75" customHeight="1" x14ac:dyDescent="0.35">
      <c r="A83" s="1" t="s">
        <v>312</v>
      </c>
      <c r="B83" s="99" t="str">
        <f>+[2]TableA1!A84</f>
        <v>St. Kitts and Nevis</v>
      </c>
      <c r="C83" s="83">
        <f>+[2]GDPgrowth!H78</f>
        <v>1.1648778500000001</v>
      </c>
      <c r="D83" s="84">
        <f>+VLOOKUP($A83,[2]globaltaxrev!A:B,2,0)</f>
        <v>2.7699999999999999E-2</v>
      </c>
      <c r="E83" s="101">
        <f t="shared" ref="E83:E89" si="49">+IFERROR(D83/L83,"")</f>
        <v>5.5061385166755135E-2</v>
      </c>
      <c r="F83" s="102">
        <f>IFERROR(VLOOKUP(B83,'[2]CBC- IRS'!A:N,14,0),"")</f>
        <v>4.3417732526542983E-2</v>
      </c>
      <c r="G83" s="103">
        <f t="shared" si="43"/>
        <v>4.3417732526542983E-2</v>
      </c>
      <c r="H83" s="188">
        <f>+'[2]Table U2'!D84</f>
        <v>7.9642809430400002E-2</v>
      </c>
      <c r="I83" s="104">
        <f t="shared" si="34"/>
        <v>4.7785685658239999E-2</v>
      </c>
      <c r="J83" s="88">
        <f>IFERROR('Table U1'!O83/VLOOKUP('Table U1'!B83,'[2]Table II.F 1'!A:I,9,0),0.4*H83)</f>
        <v>3.1857123772160004E-2</v>
      </c>
      <c r="K83" s="247">
        <f t="shared" si="39"/>
        <v>0.56800476458199178</v>
      </c>
      <c r="L83" s="87">
        <f>+'[2]Table U2'!F84</f>
        <v>0.50307488480556162</v>
      </c>
      <c r="M83" s="87">
        <f>(1+0.01)*MAX(0,(TableB10!K84+TableB10!N84+TableB10!O84-TableB10!T84))/1000</f>
        <v>6.4929879776430194E-2</v>
      </c>
      <c r="N83" s="90">
        <f t="shared" si="35"/>
        <v>0.53168764348172937</v>
      </c>
      <c r="O83" s="88">
        <f t="shared" si="28"/>
        <v>6.4936308477398161E-2</v>
      </c>
      <c r="P83" s="87">
        <f>MAX(TableB10!V84-IFERROR(VLOOKUP('Table U1'!A75,'[2]fdiinterest_net (2)'!A:D,3,0)/1000000000,0),0)/1000</f>
        <v>6.4287009679633855E-2</v>
      </c>
      <c r="Q83" s="88">
        <f>+IFERROR(VLOOKUP(B83,'[2]SPE FDI income'!A:H,7,0)-VLOOKUP(B83,'[2]SPE FDI income'!A:H,8,0),0)/1000</f>
        <v>0</v>
      </c>
      <c r="R83" s="88">
        <f t="shared" ref="R83:R88" si="50">+L83+M83-W83-P83-S83</f>
        <v>0.46675133500433119</v>
      </c>
      <c r="S83" s="88">
        <f>+(TableB10!F84*(G83/(1-G83)))/1000+1%*M83</f>
        <v>6.4929879776430197E-4</v>
      </c>
      <c r="T83" s="88">
        <f>IFERROR(VLOOKUP('Table U1'!A83,[2]fdiinterest_net!A:B,2,0)/1000000000,0)</f>
        <v>0</v>
      </c>
      <c r="U83" s="142"/>
      <c r="V83" s="89">
        <f t="shared" si="36"/>
        <v>0.50306845610459361</v>
      </c>
      <c r="W83" s="112">
        <f t="shared" si="41"/>
        <v>3.6317121100262396E-2</v>
      </c>
      <c r="X83" s="500">
        <f t="shared" si="44"/>
        <v>4.8767196557558963E-2</v>
      </c>
      <c r="Y83" s="108">
        <f t="shared" si="45"/>
        <v>6.3166391090861715</v>
      </c>
      <c r="Z83" s="109">
        <f t="shared" si="46"/>
        <v>7.131902661951826</v>
      </c>
      <c r="AA83" s="109">
        <f t="shared" si="47"/>
        <v>0.7599999999999999</v>
      </c>
      <c r="AB83" s="102">
        <f t="shared" si="48"/>
        <v>16.689756654879563</v>
      </c>
      <c r="AC83" s="110">
        <f>+AC81</f>
        <v>0.95014955134596213</v>
      </c>
      <c r="AD83" s="111">
        <f t="shared" si="42"/>
        <v>0.50747622941488779</v>
      </c>
      <c r="AF83" s="37">
        <f>+N83-'[2]Table U2'!H84</f>
        <v>4.4060890389825913E-2</v>
      </c>
      <c r="AJ83" s="33" t="str">
        <f>+VLOOKUP('Table U1'!A83,[2]Regions!G:J,4,0)</f>
        <v>Americas</v>
      </c>
      <c r="AK83" s="33" t="str">
        <f>+VLOOKUP(A83,[2]Regions!G:K,5,0)</f>
        <v>Latin America and the Caribbean</v>
      </c>
    </row>
    <row r="84" spans="1:37" ht="15.75" customHeight="1" x14ac:dyDescent="0.35">
      <c r="A84" s="1" t="s">
        <v>313</v>
      </c>
      <c r="B84" s="99" t="str">
        <f>+[2]TableA1!A85</f>
        <v>St. Lucia</v>
      </c>
      <c r="C84" s="83">
        <f>+[2]GDPgrowth!H79</f>
        <v>2.1187915500000001</v>
      </c>
      <c r="D84" s="84">
        <f>+VLOOKUP($A84,[2]globaltaxrev!A:B,2,0)</f>
        <v>4.104E-2</v>
      </c>
      <c r="E84" s="101">
        <f t="shared" si="49"/>
        <v>4.4553401551823857E-2</v>
      </c>
      <c r="F84" s="102" t="str">
        <f>IFERROR(VLOOKUP(B84,'[2]CBC- IRS'!A:N,14,0),"")</f>
        <v/>
      </c>
      <c r="G84" s="103">
        <f t="shared" si="43"/>
        <v>4.4553401551823857E-2</v>
      </c>
      <c r="H84" s="188">
        <f>+'[2]Table U2'!D85</f>
        <v>0.11822790566999999</v>
      </c>
      <c r="I84" s="104">
        <f t="shared" si="34"/>
        <v>7.0936743401999985E-2</v>
      </c>
      <c r="J84" s="88">
        <f>IFERROR('Table U1'!O84/VLOOKUP('Table U1'!B84,'[2]Table II.F 1'!A:I,9,0),0.4*H84)</f>
        <v>4.7291162268000002E-2</v>
      </c>
      <c r="K84" s="247">
        <f t="shared" si="39"/>
        <v>0.94122468204555509</v>
      </c>
      <c r="L84" s="87">
        <f>+'[2]Table U2'!F85</f>
        <v>0.9211417887422777</v>
      </c>
      <c r="M84" s="87">
        <f>(1+0.01)*MAX(0,(TableB10!K85+TableB10!N85+TableB10!O85-TableB10!T85))/1000</f>
        <v>2.008289330327739E-2</v>
      </c>
      <c r="N84" s="90">
        <f t="shared" si="35"/>
        <v>0.8873127570600351</v>
      </c>
      <c r="O84" s="88">
        <f t="shared" si="28"/>
        <v>1.2620704761329196E-2</v>
      </c>
      <c r="P84" s="87">
        <f>MAX(TableB10!V85-IFERROR(VLOOKUP('Table U1'!A76,'[2]fdiinterest_net (2)'!A:D,3,0)/1000000000,0),0)/1000</f>
        <v>1.2419875828296421E-2</v>
      </c>
      <c r="Q84" s="88">
        <f>+IFERROR(VLOOKUP(B84,'[2]SPE FDI income'!A:H,7,0)-VLOOKUP(B84,'[2]SPE FDI income'!A:H,8,0),0)/1000</f>
        <v>0</v>
      </c>
      <c r="R84" s="88">
        <f t="shared" si="50"/>
        <v>0.87469205229870595</v>
      </c>
      <c r="S84" s="88">
        <f>+(TableB10!F85*(G84/(1-G84)))/1000+1%*M84</f>
        <v>2.0082893303277391E-4</v>
      </c>
      <c r="T84" s="88">
        <f>IFERROR(VLOOKUP('Table U1'!A84,[2]fdiinterest_net!A:B,2,0)/1000000000,0)</f>
        <v>0</v>
      </c>
      <c r="U84" s="142"/>
      <c r="V84" s="89">
        <f t="shared" si="36"/>
        <v>0.92860397728422595</v>
      </c>
      <c r="W84" s="112">
        <f t="shared" si="41"/>
        <v>5.3911924985519992E-2</v>
      </c>
      <c r="X84" s="500">
        <f t="shared" si="44"/>
        <v>4.3602766462528524E-2</v>
      </c>
      <c r="Y84" s="108">
        <f t="shared" si="45"/>
        <v>7.7912383165560453</v>
      </c>
      <c r="Z84" s="109">
        <f t="shared" si="46"/>
        <v>7.9611042478644558</v>
      </c>
      <c r="AA84" s="109">
        <f t="shared" si="47"/>
        <v>0.76</v>
      </c>
      <c r="AB84" s="102">
        <f t="shared" si="48"/>
        <v>18.762760619661137</v>
      </c>
      <c r="AC84" s="110">
        <f>+AC83</f>
        <v>0.95014955134596213</v>
      </c>
      <c r="AD84" s="111">
        <f t="shared" si="42"/>
        <v>0.85137147373635502</v>
      </c>
      <c r="AF84" s="37">
        <f>+N84-'[2]Table U2'!H85</f>
        <v>-8.601194804586576E-2</v>
      </c>
      <c r="AJ84" s="33" t="str">
        <f>+VLOOKUP('Table U1'!A84,[2]Regions!G:J,4,0)</f>
        <v>Americas</v>
      </c>
      <c r="AK84" s="33" t="str">
        <f>+VLOOKUP(A84,[2]Regions!G:K,5,0)</f>
        <v>Latin America and the Caribbean</v>
      </c>
    </row>
    <row r="85" spans="1:37" ht="15.75" customHeight="1" x14ac:dyDescent="0.35">
      <c r="A85" s="1" t="s">
        <v>314</v>
      </c>
      <c r="B85" s="99" t="str">
        <f>+[2]TableA1!A86</f>
        <v>St. Vincent and the Grenadines</v>
      </c>
      <c r="C85" s="83">
        <f>+[2]GDPgrowth!H80</f>
        <v>0.91014970000000006</v>
      </c>
      <c r="D85" s="84">
        <f>+VLOOKUP($A85,[2]globaltaxrev!A:B,2,0)</f>
        <v>2.23E-2</v>
      </c>
      <c r="E85" s="101">
        <f t="shared" si="49"/>
        <v>5.5557992934371511E-2</v>
      </c>
      <c r="F85" s="102" t="str">
        <f>IFERROR(VLOOKUP(B85,'[2]CBC- IRS'!A:N,14,0),"")</f>
        <v/>
      </c>
      <c r="G85" s="103">
        <f t="shared" si="43"/>
        <v>5.5557992934371511E-2</v>
      </c>
      <c r="H85" s="188">
        <f>+'[2]Table U2'!D86</f>
        <v>7.6073260364799986E-2</v>
      </c>
      <c r="I85" s="104">
        <f t="shared" si="34"/>
        <v>4.564395621887999E-2</v>
      </c>
      <c r="J85" s="88">
        <f>IFERROR('Table U1'!O85/VLOOKUP('Table U1'!B85,'[2]Table II.F 1'!A:I,9,0),0.4*H85)</f>
        <v>3.0429304145919996E-2</v>
      </c>
      <c r="K85" s="247">
        <f t="shared" si="39"/>
        <v>0.40138239022316952</v>
      </c>
      <c r="L85" s="87">
        <f>+'[2]Table U2'!F86</f>
        <v>0.40138239022316952</v>
      </c>
      <c r="M85" s="87">
        <f>(1+0.01)*MAX(0,(TableB10!K86+TableB10!N86+TableB10!O86-TableB10!T86))/1000</f>
        <v>0</v>
      </c>
      <c r="N85" s="90">
        <f t="shared" si="35"/>
        <v>0.36669298349682072</v>
      </c>
      <c r="O85" s="88">
        <f t="shared" si="28"/>
        <v>0</v>
      </c>
      <c r="P85" s="87">
        <f>MAX(TableB10!V86-IFERROR(VLOOKUP('Table U1'!A77,'[2]fdiinterest_net (2)'!A:D,3,0)/1000000000,0),0)/1000</f>
        <v>0</v>
      </c>
      <c r="Q85" s="88">
        <f>+IFERROR(VLOOKUP(B85,'[2]SPE FDI income'!A:H,7,0)-VLOOKUP(B85,'[2]SPE FDI income'!A:H,8,0),0)/1000</f>
        <v>0</v>
      </c>
      <c r="R85" s="88">
        <f t="shared" si="50"/>
        <v>0.36669298349682072</v>
      </c>
      <c r="S85" s="88">
        <f>+(TableB10!F86*(G85/(1-G85)))/1000+1%*M85</f>
        <v>0</v>
      </c>
      <c r="T85" s="88">
        <f>IFERROR(VLOOKUP('Table U1'!A85,[2]fdiinterest_net!A:B,2,0)/1000000000,0)</f>
        <v>0</v>
      </c>
      <c r="U85" s="142"/>
      <c r="V85" s="89">
        <f t="shared" si="36"/>
        <v>0.40138239022316952</v>
      </c>
      <c r="W85" s="112">
        <f t="shared" si="41"/>
        <v>3.4689406726348793E-2</v>
      </c>
      <c r="X85" s="500">
        <f t="shared" si="44"/>
        <v>5.5557992934371511E-2</v>
      </c>
      <c r="Y85" s="108">
        <f t="shared" si="45"/>
        <v>5.2762611763764236</v>
      </c>
      <c r="Z85" s="109">
        <f t="shared" si="46"/>
        <v>5.2762611763764236</v>
      </c>
      <c r="AA85" s="109">
        <f t="shared" si="47"/>
        <v>0.76</v>
      </c>
      <c r="AB85" s="102">
        <f t="shared" si="48"/>
        <v>12.050652940941058</v>
      </c>
      <c r="AC85" s="110">
        <f>+AC83</f>
        <v>0.95014955134596213</v>
      </c>
      <c r="AD85" s="111">
        <f t="shared" si="42"/>
        <v>0.34356671234592151</v>
      </c>
      <c r="AF85" s="37">
        <f>+N85-'[2]Table U2'!H86</f>
        <v>-3.3004278349761107E-2</v>
      </c>
      <c r="AJ85" s="33" t="str">
        <f>+VLOOKUP('Table U1'!A85,[2]Regions!G:J,4,0)</f>
        <v>Americas</v>
      </c>
      <c r="AK85" s="33" t="str">
        <f>+VLOOKUP(A85,[2]Regions!G:K,5,0)</f>
        <v>Latin America and the Caribbean</v>
      </c>
    </row>
    <row r="86" spans="1:37" ht="15.75" customHeight="1" x14ac:dyDescent="0.35">
      <c r="A86" s="1" t="s">
        <v>315</v>
      </c>
      <c r="B86" s="99" t="str">
        <f>+[2]TableA1!A87</f>
        <v>Turks and Caicos</v>
      </c>
      <c r="C86" s="83">
        <f>+[2]GDPgrowth!H81</f>
        <v>1.1974149999999999</v>
      </c>
      <c r="D86" s="84">
        <f>5%*L86</f>
        <v>1.4725069711759542E-2</v>
      </c>
      <c r="E86" s="101">
        <f t="shared" si="49"/>
        <v>0.05</v>
      </c>
      <c r="F86" s="102" t="str">
        <f>IFERROR(VLOOKUP(B86,'[2]CBC- IRS'!A:N,14,0),"")</f>
        <v/>
      </c>
      <c r="G86" s="103">
        <f t="shared" si="43"/>
        <v>0.05</v>
      </c>
      <c r="H86" s="188">
        <f>+'[2]Table U2'!D87</f>
        <v>0.12310290181</v>
      </c>
      <c r="I86" s="104">
        <f t="shared" si="34"/>
        <v>7.3861741085999993E-2</v>
      </c>
      <c r="J86" s="88">
        <f>IFERROR('Table U1'!O86/VLOOKUP('Table U1'!B86,'[2]Table II.F 1'!A:I,9,0),0.4*H86)</f>
        <v>4.9241160724000005E-2</v>
      </c>
      <c r="K86" s="247">
        <f t="shared" si="39"/>
        <v>0.31683286307881248</v>
      </c>
      <c r="L86" s="87">
        <f>+'[2]Table U2'!F87</f>
        <v>0.29450139423519084</v>
      </c>
      <c r="M86" s="87">
        <f>(1+0.01)*MAX(0,(TableB10!K87+TableB10!N87+TableB10!O87-TableB10!T87))/1000</f>
        <v>2.2331468843621648E-2</v>
      </c>
      <c r="N86" s="90">
        <f t="shared" si="35"/>
        <v>0.26069793985345247</v>
      </c>
      <c r="O86" s="88">
        <f t="shared" si="28"/>
        <v>2.233367988014082E-2</v>
      </c>
      <c r="P86" s="87">
        <f>MAX(TableB10!V87-IFERROR(VLOOKUP('Table U1'!A78,'[2]fdiinterest_net (2)'!A:D,3,0)/1000000000,0),0)/1000</f>
        <v>2.2110365191704603E-2</v>
      </c>
      <c r="Q86" s="88">
        <f>+IFERROR(VLOOKUP(B86,'[2]SPE FDI income'!A:H,7,0)-VLOOKUP(B86,'[2]SPE FDI income'!A:H,8,0),0)/1000</f>
        <v>0</v>
      </c>
      <c r="R86" s="88">
        <f t="shared" si="50"/>
        <v>0.23836425997331162</v>
      </c>
      <c r="S86" s="88">
        <f>+(TableB10!F87*(G86/(1-G86)))/1000+1%*M86</f>
        <v>2.2331468843621649E-4</v>
      </c>
      <c r="T86" s="88">
        <f>IFERROR(VLOOKUP('Table U1'!A86,[2]fdiinterest_net!A:B,2,0)/1000000000,0)</f>
        <v>0</v>
      </c>
      <c r="U86" s="142"/>
      <c r="V86" s="89">
        <f t="shared" si="36"/>
        <v>0.29449918319867163</v>
      </c>
      <c r="W86" s="112">
        <f t="shared" si="41"/>
        <v>5.6134923225359998E-2</v>
      </c>
      <c r="X86" s="500">
        <f t="shared" si="44"/>
        <v>4.6475828197457748E-2</v>
      </c>
      <c r="Y86" s="108">
        <f t="shared" si="45"/>
        <v>2.3923188641786157</v>
      </c>
      <c r="Z86" s="109">
        <f t="shared" si="46"/>
        <v>2.5737237580948333</v>
      </c>
      <c r="AA86" s="109">
        <f t="shared" si="47"/>
        <v>0.76</v>
      </c>
      <c r="AB86" s="102">
        <f t="shared" si="48"/>
        <v>5.2943093952370832</v>
      </c>
      <c r="AC86" s="110">
        <f>+AC84</f>
        <v>0.95014955134596213</v>
      </c>
      <c r="AD86" s="111">
        <f t="shared" si="42"/>
        <v>0.22327465770321248</v>
      </c>
      <c r="AF86" s="37">
        <f>+N86-'[2]Table U2'!H87</f>
        <v>-2.6495550358533293E-2</v>
      </c>
      <c r="AJ86" s="33" t="str">
        <f>+VLOOKUP('Table U1'!A86,[2]Regions!G:J,4,0)</f>
        <v>Americas</v>
      </c>
      <c r="AK86" s="33" t="str">
        <f>+VLOOKUP(A86,[2]Regions!G:K,5,0)</f>
        <v>Latin America and the Caribbean</v>
      </c>
    </row>
    <row r="87" spans="1:37" ht="15.75" customHeight="1" x14ac:dyDescent="0.35">
      <c r="A87" s="1" t="str">
        <f>+IFERROR(IFERROR(VLOOKUP(#REF!,[7]Sheet1!$A$1:$C$65536,3,0),VLOOKUP(B87,[7]Sheet1!$A$1:$C$65536,3,0)),VLOOKUP(#REF!,[7]Sheet1!$A$1:$C$65536,3,0))</f>
        <v>PAN</v>
      </c>
      <c r="B87" s="99" t="str">
        <f>+[2]TableA1!A88</f>
        <v>Panama</v>
      </c>
      <c r="C87" s="83">
        <f>+[2]GDPgrowth!H82</f>
        <v>66.984427199999999</v>
      </c>
      <c r="D87" s="84">
        <f>F87*L87</f>
        <v>2.4432737017462802</v>
      </c>
      <c r="E87" s="101"/>
      <c r="F87" s="102">
        <f>IFERROR(VLOOKUP(B87,'[2]CBC- IRS'!A:N,14,0),"")</f>
        <v>0.10885874891917198</v>
      </c>
      <c r="G87" s="103">
        <f t="shared" si="43"/>
        <v>0.10885874891917198</v>
      </c>
      <c r="H87" s="188">
        <f>+'[2]Table U2'!D88</f>
        <v>10.593085365</v>
      </c>
      <c r="I87" s="104">
        <f t="shared" si="34"/>
        <v>4.1912285613947384</v>
      </c>
      <c r="J87" s="88">
        <f>IFERROR('Table U1'!O87/VLOOKUP('Table U1'!B87,'[2]Table II.F 1'!A:I,9,0),0.4*H87)</f>
        <v>6.4018568036052619</v>
      </c>
      <c r="K87" s="247">
        <f t="shared" si="39"/>
        <v>24.235885816098058</v>
      </c>
      <c r="L87" s="87">
        <f>+'[2]Table U2'!F88</f>
        <v>22.444440396429872</v>
      </c>
      <c r="M87" s="87">
        <f>(1+0.01)*MAX(0,(TableB10!K88+TableB10!N88+TableB10!O88-TableB10!T88))/1000</f>
        <v>1.791445419668187</v>
      </c>
      <c r="N87" s="90">
        <f t="shared" si="35"/>
        <v>21.050552109438062</v>
      </c>
      <c r="O87" s="88">
        <f t="shared" si="28"/>
        <v>3.6745060441370665</v>
      </c>
      <c r="P87" s="87">
        <f>MAX(TableB10!V88-IFERROR(VLOOKUP('Table U1'!A79,'[2]fdiinterest_net (2)'!A:D,3,0)/1000000000,0),0)/1000</f>
        <v>3.2233999999999998</v>
      </c>
      <c r="Q87" s="88">
        <f>+IFERROR(VLOOKUP(B87,'[2]SPE FDI income'!A:H,7,0)-VLOOKUP(B87,'[2]SPE FDI income'!A:H,8,0),0)/1000</f>
        <v>0</v>
      </c>
      <c r="R87" s="88">
        <f t="shared" si="50"/>
        <v>17.376046065300994</v>
      </c>
      <c r="S87" s="88">
        <f>+(TableB10!F88*(G87/(1-G87)))/1000+1%*M87</f>
        <v>0.45110604413706684</v>
      </c>
      <c r="T87" s="88">
        <f>IFERROR(VLOOKUP('Table U1'!A87,[2]fdiinterest_net!A:B,2,0)/1000000000,0)</f>
        <v>0</v>
      </c>
      <c r="U87" s="142"/>
      <c r="V87" s="89">
        <f t="shared" si="36"/>
        <v>20.56137977196099</v>
      </c>
      <c r="W87" s="112">
        <f t="shared" si="41"/>
        <v>3.1853337066600012</v>
      </c>
      <c r="X87" s="500">
        <f t="shared" si="44"/>
        <v>0.10081223027232614</v>
      </c>
      <c r="Y87" s="108">
        <f t="shared" si="45"/>
        <v>2.1187821699792249</v>
      </c>
      <c r="Z87" s="109">
        <f t="shared" si="46"/>
        <v>2.2878967723770494</v>
      </c>
      <c r="AA87" s="109">
        <f t="shared" si="47"/>
        <v>0.76</v>
      </c>
      <c r="AB87" s="102">
        <f t="shared" si="48"/>
        <v>3.2881947777374929</v>
      </c>
      <c r="AC87" s="110">
        <f>+IFERROR(VLOOKUP(B87,'[2]Table II.F 1'!A:I,9,0),"")</f>
        <v>0.57397504456327986</v>
      </c>
      <c r="AD87" s="111">
        <f t="shared" si="42"/>
        <v>16.185140938698062</v>
      </c>
      <c r="AF87" s="37">
        <f>+N87-'[2]Table U2'!H88</f>
        <v>2.6239200747744995</v>
      </c>
      <c r="AJ87" s="33" t="str">
        <f>+VLOOKUP('Table U1'!A87,[2]Regions!G:J,4,0)</f>
        <v>Americas</v>
      </c>
      <c r="AK87" s="33" t="str">
        <f>+VLOOKUP(A87,[2]Regions!G:K,5,0)</f>
        <v>Latin America and the Caribbean</v>
      </c>
    </row>
    <row r="88" spans="1:37" s="57" customFormat="1" ht="15.75" customHeight="1" x14ac:dyDescent="0.35">
      <c r="A88" s="1" t="s">
        <v>316</v>
      </c>
      <c r="B88" s="100" t="s">
        <v>122</v>
      </c>
      <c r="C88" s="85">
        <f>+[2]GDPgrowth!H83</f>
        <v>104.91460000000001</v>
      </c>
      <c r="D88" s="85">
        <f>+'[2]Puerto Rico'!W37/1000</f>
        <v>1.6636</v>
      </c>
      <c r="E88" s="149">
        <f t="shared" si="49"/>
        <v>3.3679931328247731E-2</v>
      </c>
      <c r="F88" s="150">
        <f>IFERROR(VLOOKUP(B88,'[2]CBC- IRS'!A:N,14,0),"")</f>
        <v>1.5481274156455149E-2</v>
      </c>
      <c r="G88" s="151">
        <f t="shared" si="43"/>
        <v>1.5481274156455149E-2</v>
      </c>
      <c r="H88" s="189">
        <f>+'[2]Puerto Rico'!B18/1000</f>
        <v>23.071200000000001</v>
      </c>
      <c r="I88" s="152">
        <f>+V88/76%</f>
        <v>21.092657157894749</v>
      </c>
      <c r="J88" s="91">
        <f>+H88-I88</f>
        <v>1.9785428421052522</v>
      </c>
      <c r="K88" s="249">
        <f t="shared" si="39"/>
        <v>49.394400000000005</v>
      </c>
      <c r="L88" s="153">
        <f>+'[2]Puerto Rico'!B15/1000</f>
        <v>49.394400000000005</v>
      </c>
      <c r="M88" s="153">
        <v>0</v>
      </c>
      <c r="N88" s="154">
        <f t="shared" si="35"/>
        <v>33.363980559999995</v>
      </c>
      <c r="O88" s="91">
        <f t="shared" si="28"/>
        <v>33.363980559999995</v>
      </c>
      <c r="P88" s="153">
        <f>MAX(TableB10!V89-IFERROR(VLOOKUP('Table U1'!A80,'[2]fdiinterest_net (2)'!A:D,3,0)/1000000000,0),0)/1000</f>
        <v>33.363980559999995</v>
      </c>
      <c r="Q88" s="91">
        <f>+IFERROR(VLOOKUP(B88,'[2]SPE FDI income'!A:H,7,0)-VLOOKUP(B88,'[2]SPE FDI income'!A:H,8,0),0)/1000</f>
        <v>0</v>
      </c>
      <c r="R88" s="91">
        <f t="shared" si="50"/>
        <v>0</v>
      </c>
      <c r="S88" s="91">
        <f>+(TableB10!F89*(G88/(1-G88)))/1000+1%*M88</f>
        <v>0</v>
      </c>
      <c r="T88" s="88">
        <f>IFERROR(VLOOKUP('Table U1'!A88,[2]fdiinterest_net!A:B,2,0)/1000000000,0)</f>
        <v>0</v>
      </c>
      <c r="U88" s="155"/>
      <c r="V88" s="92">
        <f t="shared" si="36"/>
        <v>16.03041944000001</v>
      </c>
      <c r="W88" s="112">
        <f t="shared" si="41"/>
        <v>16.03041944000001</v>
      </c>
      <c r="X88" s="501">
        <f t="shared" si="44"/>
        <v>3.3679931328247731E-2</v>
      </c>
      <c r="Y88" s="157">
        <f t="shared" si="45"/>
        <v>2.1409549568292938</v>
      </c>
      <c r="Z88" s="158">
        <f t="shared" si="46"/>
        <v>2.1409549568292938</v>
      </c>
      <c r="AA88" s="158">
        <f t="shared" si="47"/>
        <v>0.76</v>
      </c>
      <c r="AB88" s="150">
        <f t="shared" si="48"/>
        <v>16.862905290693288</v>
      </c>
      <c r="AC88" s="159">
        <f>+AC84</f>
        <v>0.95014955134596213</v>
      </c>
      <c r="AD88" s="160">
        <f t="shared" si="42"/>
        <v>31.860287999999997</v>
      </c>
      <c r="AF88" s="37">
        <f>+N88-'[2]Table U2'!H89</f>
        <v>-11.245414834588665</v>
      </c>
      <c r="AJ88" s="33" t="str">
        <f>+VLOOKUP('Table U1'!A88,[2]Regions!G:J,4,0)</f>
        <v>Americas</v>
      </c>
      <c r="AK88" s="33" t="str">
        <f>+VLOOKUP(A88,[2]Regions!G:K,5,0)</f>
        <v>Latin America and the Caribbean</v>
      </c>
    </row>
    <row r="89" spans="1:37" s="34" customFormat="1" ht="40" customHeight="1" x14ac:dyDescent="0.35">
      <c r="A89" s="70" t="e">
        <f>+IFERROR(IFERROR(VLOOKUP(#REF!,[7]Sheet1!$A$1:$C$65536,3,0),VLOOKUP(B89,[7]Sheet1!$A$1:$C$65536,3,0)),VLOOKUP(#REF!,[7]Sheet1!$A$1:$C$65536,3,0))</f>
        <v>#REF!</v>
      </c>
      <c r="B89" s="161" t="s">
        <v>123</v>
      </c>
      <c r="C89" s="162">
        <f>+[2]GDPgrowth!$H$86</f>
        <v>11547.713781520026</v>
      </c>
      <c r="D89" s="162">
        <f>+($C$89/$C$44)*D44</f>
        <v>423.69428213459906</v>
      </c>
      <c r="E89" s="163">
        <f t="shared" si="49"/>
        <v>0.182523210314845</v>
      </c>
      <c r="F89" s="164" t="str">
        <f>IFERROR(VLOOKUP(B89,'[2]CBC- IRS'!A:N,14,0),"")</f>
        <v/>
      </c>
      <c r="G89" s="165">
        <f>+IF(MIN(E89,F89)&gt;0,MIN(E89,F89),MAX(E89,F89,5%))</f>
        <v>0.182523210314845</v>
      </c>
      <c r="H89" s="152">
        <f>+($C$89/$C$44)*H44</f>
        <v>3122.2537049407379</v>
      </c>
      <c r="I89" s="152">
        <f>+K89/(K44/I44)</f>
        <v>2757.8612755032109</v>
      </c>
      <c r="J89" s="116">
        <f>+N89/AB44</f>
        <v>541.76079515772494</v>
      </c>
      <c r="K89" s="249">
        <f t="shared" si="39"/>
        <v>2321.3172801625828</v>
      </c>
      <c r="L89" s="250">
        <f>+($C$89/$C$44)*L44</f>
        <v>2321.3172801625828</v>
      </c>
      <c r="M89" s="156">
        <f>(1+0.01)*MAX(0,(TableB10!K90+TableB10!N90+TableB10!O90-TableB10!T90))/1000</f>
        <v>0</v>
      </c>
      <c r="N89" s="154">
        <f>P89+Q89+R89+S89</f>
        <v>294.31410406339899</v>
      </c>
      <c r="O89" s="116">
        <f>+P89+S89</f>
        <v>294.31410406339899</v>
      </c>
      <c r="P89" s="156">
        <f>+TableB10!V90/1000-T89</f>
        <v>294.24840536191368</v>
      </c>
      <c r="Q89" s="116">
        <f>+IFERROR(VLOOKUP(B89,'[2]SPE FDI income'!A:H,7,0)-VLOOKUP(B89,'[2]SPE FDI income'!A:H,8,0),0)/1000</f>
        <v>0</v>
      </c>
      <c r="R89" s="116">
        <v>0</v>
      </c>
      <c r="S89" s="116">
        <f>+(P89*(G89/(1-G89)))/1000+1%*M89</f>
        <v>6.569870148529261E-2</v>
      </c>
      <c r="T89" s="116">
        <f>+'[2]fdiinterest_net (2)'!C189/1000000000-T52-T44-T8+T46+T48</f>
        <v>-194.29748793389271</v>
      </c>
      <c r="U89" s="155"/>
      <c r="V89" s="117">
        <f>+K89-N89</f>
        <v>2027.0031760991837</v>
      </c>
      <c r="W89" s="156">
        <f>+V89</f>
        <v>2027.0031760991837</v>
      </c>
      <c r="X89" s="501">
        <f t="shared" si="44"/>
        <v>0.182523210314845</v>
      </c>
      <c r="Y89" s="166">
        <f t="shared" si="45"/>
        <v>0.74347490611966227</v>
      </c>
      <c r="Z89" s="167">
        <f t="shared" si="46"/>
        <v>0.74347490611966227</v>
      </c>
      <c r="AA89" s="167">
        <f t="shared" si="47"/>
        <v>0.73499098526242157</v>
      </c>
      <c r="AB89" s="164">
        <f t="shared" si="48"/>
        <v>0.54325471073947718</v>
      </c>
      <c r="AC89" s="168"/>
      <c r="AD89" s="169">
        <f t="shared" si="42"/>
        <v>-103.8751965461302</v>
      </c>
      <c r="AF89" s="37">
        <f>+N89-'[2]Table U2'!H90</f>
        <v>176.54786591234418</v>
      </c>
    </row>
    <row r="90" spans="1:37" s="34" customFormat="1" ht="40" customHeight="1" thickBot="1" x14ac:dyDescent="0.4">
      <c r="A90" s="70" t="e">
        <f>+IFERROR(IFERROR(VLOOKUP(#REF!,[7]Sheet1!$A$1:$C$65536,3,0),VLOOKUP(B90,[7]Sheet1!$A$1:$C$65536,3,0)),VLOOKUP(#REF!,[7]Sheet1!$A$1:$C$65536,3,0))</f>
        <v>#REF!</v>
      </c>
      <c r="B90" s="170" t="s">
        <v>288</v>
      </c>
      <c r="C90" s="171">
        <f>+C89+C52+C44+C8</f>
        <v>87652.86321599003</v>
      </c>
      <c r="D90" s="171">
        <f t="shared" ref="D90:W90" si="51">+D89+D52+D44+D8</f>
        <v>2504.8643903561037</v>
      </c>
      <c r="E90" s="172"/>
      <c r="F90" s="82"/>
      <c r="G90" s="173"/>
      <c r="H90" s="172">
        <f t="shared" si="51"/>
        <v>27717.079980395414</v>
      </c>
      <c r="I90" s="82">
        <f t="shared" si="51"/>
        <v>23819.541675687804</v>
      </c>
      <c r="J90" s="173">
        <f t="shared" si="51"/>
        <v>4074.9066704278066</v>
      </c>
      <c r="K90" s="82">
        <f t="shared" si="51"/>
        <v>14471.797750716925</v>
      </c>
      <c r="L90" s="82">
        <f t="shared" si="51"/>
        <v>13985.028140385382</v>
      </c>
      <c r="M90" s="173">
        <f t="shared" si="51"/>
        <v>486.76961033154237</v>
      </c>
      <c r="N90" s="447">
        <f>+N89+N52+N44+N8</f>
        <v>2590.0443113693441</v>
      </c>
      <c r="O90" s="82">
        <f t="shared" si="51"/>
        <v>2185.3284824786801</v>
      </c>
      <c r="P90" s="82">
        <f t="shared" si="51"/>
        <v>1918.1663668012598</v>
      </c>
      <c r="Q90" s="82">
        <f t="shared" si="51"/>
        <v>-17.476490712538407</v>
      </c>
      <c r="R90" s="82">
        <f t="shared" si="51"/>
        <v>422.19231960320246</v>
      </c>
      <c r="S90" s="82">
        <f t="shared" si="51"/>
        <v>97.093191162148855</v>
      </c>
      <c r="T90" s="82">
        <f t="shared" si="51"/>
        <v>3.8594058289019415</v>
      </c>
      <c r="U90" s="171">
        <f t="shared" si="51"/>
        <v>257.91983100128931</v>
      </c>
      <c r="V90" s="171">
        <f t="shared" si="51"/>
        <v>11765.512604490081</v>
      </c>
      <c r="W90" s="82">
        <f t="shared" si="51"/>
        <v>11739.098932333909</v>
      </c>
      <c r="X90" s="502">
        <f t="shared" si="44"/>
        <v>0.17308591741699914</v>
      </c>
      <c r="Y90" s="174">
        <f t="shared" si="45"/>
        <v>0.50456354530409198</v>
      </c>
      <c r="Z90" s="175">
        <f t="shared" si="46"/>
        <v>0.52212562654337979</v>
      </c>
      <c r="AA90" s="175">
        <f t="shared" si="47"/>
        <v>0.49283479473141184</v>
      </c>
      <c r="AB90" s="176">
        <f t="shared" si="48"/>
        <v>0.63560825335354898</v>
      </c>
      <c r="AC90" s="177"/>
      <c r="AD90" s="178">
        <f>+AD52+AD8</f>
        <v>969.21874060607843</v>
      </c>
      <c r="AF90" s="37">
        <f>+N90-'[2]Table U2'!H91</f>
        <v>833.36792423267343</v>
      </c>
    </row>
    <row r="91" spans="1:37" x14ac:dyDescent="0.35">
      <c r="A91" s="1" t="e">
        <f>+IFERROR(IFERROR(VLOOKUP(#REF!,[7]Sheet1!$A$1:$C$65536,3,0),VLOOKUP(B91,[7]Sheet1!$A$1:$C$65536,3,0)),VLOOKUP(#REF!,[7]Sheet1!$A$1:$C$65536,3,0))</f>
        <v>#REF!</v>
      </c>
      <c r="B91" s="179"/>
      <c r="C91" s="179"/>
      <c r="D91" s="78"/>
      <c r="E91" s="78"/>
      <c r="F91" s="78"/>
      <c r="G91" s="78"/>
      <c r="H91" s="180"/>
      <c r="I91" s="180"/>
      <c r="J91" s="180"/>
      <c r="K91" s="182"/>
      <c r="L91" s="78"/>
      <c r="M91" s="78"/>
      <c r="N91" s="78"/>
      <c r="O91" s="66"/>
      <c r="P91" s="181"/>
      <c r="R91" s="78"/>
      <c r="S91" s="63"/>
      <c r="T91" s="78"/>
      <c r="U91" s="182"/>
      <c r="V91" s="186"/>
      <c r="W91" s="187"/>
      <c r="X91" s="503"/>
      <c r="Y91" s="109"/>
      <c r="Z91" s="109"/>
      <c r="AA91" s="109"/>
      <c r="AB91" s="183"/>
      <c r="AC91" s="78"/>
      <c r="AD91" s="184"/>
    </row>
    <row r="92" spans="1:37" s="34" customFormat="1" x14ac:dyDescent="0.35">
      <c r="A92" s="1" t="e">
        <f>+IFERROR(IFERROR(VLOOKUP(#REF!,[7]Sheet1!$A$1:$C$65536,3,0),VLOOKUP(B92,[7]Sheet1!$A$1:$C$65536,3,0)),VLOOKUP(#REF!,[7]Sheet1!$A$1:$C$65536,3,0))</f>
        <v>#REF!</v>
      </c>
      <c r="B92" s="182"/>
      <c r="C92" s="182"/>
      <c r="D92" s="78"/>
      <c r="E92" s="78"/>
      <c r="F92" s="78"/>
      <c r="G92" s="78"/>
      <c r="H92" s="182"/>
      <c r="I92" s="78"/>
      <c r="J92" s="78"/>
      <c r="K92" s="182"/>
      <c r="L92" s="182"/>
      <c r="M92" s="182"/>
      <c r="N92" s="78"/>
      <c r="O92" s="66"/>
      <c r="P92" s="78"/>
      <c r="Q92" s="78"/>
      <c r="R92" s="78"/>
      <c r="S92" s="63"/>
      <c r="T92" s="78"/>
      <c r="U92" s="182"/>
      <c r="V92" s="63"/>
      <c r="W92" s="78"/>
      <c r="X92" s="140"/>
      <c r="Y92" s="109"/>
      <c r="Z92" s="109"/>
      <c r="AA92" s="109"/>
      <c r="AB92" s="183"/>
      <c r="AC92" s="182"/>
      <c r="AD92" s="184"/>
    </row>
    <row r="93" spans="1:37" s="34" customFormat="1" ht="47.25" customHeight="1" x14ac:dyDescent="0.35">
      <c r="A93" s="1"/>
      <c r="B93" s="555" t="s">
        <v>452</v>
      </c>
      <c r="C93" s="556"/>
      <c r="D93" s="556"/>
      <c r="E93" s="556"/>
      <c r="F93" s="556"/>
      <c r="G93" s="556"/>
      <c r="H93" s="556"/>
      <c r="I93" s="556"/>
      <c r="J93" s="556"/>
      <c r="K93" s="556"/>
      <c r="L93" s="556"/>
      <c r="M93" s="556"/>
      <c r="N93" s="556"/>
      <c r="O93" s="556"/>
      <c r="P93" s="556"/>
      <c r="Q93" s="556"/>
      <c r="R93" s="556"/>
      <c r="S93" s="556"/>
      <c r="T93" s="556"/>
      <c r="U93" s="556"/>
      <c r="V93" s="556"/>
      <c r="W93" s="556"/>
      <c r="X93" s="556"/>
      <c r="Y93" s="556"/>
      <c r="Z93" s="556"/>
      <c r="AA93" s="556"/>
      <c r="AB93" s="556"/>
      <c r="AC93" s="556"/>
      <c r="AD93" s="556"/>
      <c r="AF93" s="252">
        <f>+AD52-AD71-AD82-AD88</f>
        <v>288.03551860668642</v>
      </c>
    </row>
    <row r="94" spans="1:37" s="34" customFormat="1" x14ac:dyDescent="0.35">
      <c r="A94" s="1"/>
      <c r="B94" s="33"/>
      <c r="C94" s="33"/>
      <c r="D94" s="33"/>
      <c r="E94" s="33"/>
      <c r="F94" s="33"/>
      <c r="G94" s="33"/>
      <c r="I94" s="33"/>
      <c r="J94" s="33"/>
      <c r="K94" s="523"/>
      <c r="L94" s="37">
        <f>R52-R82-R71</f>
        <v>146.15420429812514</v>
      </c>
      <c r="M94" s="33">
        <f>+L94/741</f>
        <v>0.19723914210273297</v>
      </c>
      <c r="N94" s="33"/>
      <c r="O94" s="33"/>
      <c r="P94" s="33"/>
      <c r="Q94" s="78"/>
      <c r="R94" s="33"/>
      <c r="S94" s="33"/>
      <c r="T94" s="57"/>
      <c r="V94" s="67"/>
      <c r="W94" s="33"/>
      <c r="X94" s="496"/>
      <c r="Y94" s="33"/>
      <c r="Z94" s="33"/>
      <c r="AA94" s="33"/>
    </row>
    <row r="95" spans="1:37" s="34" customFormat="1" x14ac:dyDescent="0.35">
      <c r="A95" s="1"/>
      <c r="B95" s="33"/>
      <c r="C95" s="33"/>
      <c r="D95" s="33"/>
      <c r="E95" s="33"/>
      <c r="F95" s="33"/>
      <c r="G95" s="33"/>
      <c r="I95" s="33"/>
      <c r="J95" s="33"/>
      <c r="L95" s="33"/>
      <c r="M95" s="33"/>
      <c r="N95" s="33"/>
      <c r="O95" s="33"/>
      <c r="P95" s="33"/>
      <c r="Q95" s="78"/>
      <c r="R95" s="33">
        <f>+AD90/N90</f>
        <v>0.37420932775225652</v>
      </c>
      <c r="S95" s="33"/>
      <c r="T95" s="57"/>
      <c r="V95" s="67"/>
      <c r="W95" s="33"/>
      <c r="X95" s="496"/>
      <c r="Y95" s="33"/>
      <c r="Z95" s="33"/>
      <c r="AA95" s="33"/>
    </row>
    <row r="96" spans="1:37" s="34" customFormat="1" x14ac:dyDescent="0.35">
      <c r="A96" s="1"/>
      <c r="B96" s="41"/>
      <c r="C96" s="41"/>
      <c r="D96" s="33"/>
      <c r="E96" s="33"/>
      <c r="F96" s="33"/>
      <c r="G96" s="33"/>
      <c r="H96" s="48"/>
      <c r="I96" s="48"/>
      <c r="J96" s="48"/>
      <c r="L96" s="33"/>
      <c r="M96" s="33"/>
      <c r="N96" s="33"/>
      <c r="O96" s="33"/>
      <c r="P96" s="33"/>
      <c r="Q96" s="78"/>
      <c r="R96" s="33"/>
      <c r="S96" s="33"/>
      <c r="T96" s="57"/>
      <c r="V96" s="67"/>
      <c r="W96" s="33"/>
      <c r="X96" s="496"/>
      <c r="Y96" s="33"/>
      <c r="Z96" s="33"/>
      <c r="AA96" s="33"/>
      <c r="AD96" s="445">
        <f>AD55+AD56+AD57+AD58+AD60+AD61+AD63+AD64+AD65+AD66+AD69+AD78+AD84+AD85</f>
        <v>217.25387699460433</v>
      </c>
    </row>
    <row r="97" spans="1:27" s="34" customFormat="1" x14ac:dyDescent="0.35">
      <c r="A97" s="1"/>
      <c r="B97" s="33"/>
      <c r="C97" s="33"/>
      <c r="D97" s="50"/>
      <c r="E97" s="547"/>
      <c r="F97" s="50"/>
      <c r="G97" s="50"/>
      <c r="I97" s="37"/>
      <c r="J97" s="33"/>
      <c r="K97" s="77"/>
      <c r="L97" s="50">
        <v>37489</v>
      </c>
      <c r="M97" s="50"/>
      <c r="N97" s="50"/>
      <c r="O97" s="50"/>
      <c r="P97" s="50"/>
      <c r="Q97" s="80"/>
      <c r="R97" s="50"/>
      <c r="S97" s="50"/>
      <c r="T97" s="64"/>
      <c r="U97" s="77"/>
      <c r="V97" s="68"/>
      <c r="W97" s="50"/>
      <c r="X97" s="504"/>
      <c r="Y97" s="50"/>
      <c r="Z97" s="50"/>
      <c r="AA97" s="50"/>
    </row>
    <row r="98" spans="1:27" x14ac:dyDescent="0.35">
      <c r="L98" s="37">
        <f>+L97-5000</f>
        <v>32489</v>
      </c>
    </row>
    <row r="99" spans="1:27" s="34" customFormat="1" ht="30" customHeight="1" x14ac:dyDescent="0.35">
      <c r="A99" s="1"/>
      <c r="B99" s="46"/>
      <c r="C99" s="46"/>
      <c r="D99" s="33"/>
      <c r="E99" s="33"/>
      <c r="F99" s="33"/>
      <c r="G99" s="33"/>
      <c r="I99" s="33"/>
      <c r="J99" s="33"/>
      <c r="L99" s="33">
        <f>+L98/7</f>
        <v>4641.2857142857147</v>
      </c>
      <c r="M99" s="33"/>
      <c r="N99" s="33"/>
      <c r="O99" s="33"/>
      <c r="P99" s="33"/>
      <c r="Q99" s="78"/>
      <c r="R99" s="33"/>
      <c r="S99" s="33"/>
      <c r="T99" s="57"/>
      <c r="V99" s="67"/>
      <c r="W99" s="33"/>
      <c r="X99" s="496"/>
      <c r="Y99" s="33"/>
      <c r="Z99" s="33"/>
      <c r="AA99" s="33"/>
    </row>
    <row r="101" spans="1:27" x14ac:dyDescent="0.35">
      <c r="L101" s="33">
        <f>641*7</f>
        <v>4487</v>
      </c>
    </row>
    <row r="102" spans="1:27" x14ac:dyDescent="0.35">
      <c r="L102" s="33">
        <f>+L101/5</f>
        <v>897.4</v>
      </c>
    </row>
    <row r="103" spans="1:27" ht="15" customHeight="1" x14ac:dyDescent="0.35"/>
  </sheetData>
  <mergeCells count="20">
    <mergeCell ref="U6:U7"/>
    <mergeCell ref="O6:O7"/>
    <mergeCell ref="X6:X7"/>
    <mergeCell ref="K6:K7"/>
    <mergeCell ref="B3:AD3"/>
    <mergeCell ref="B93:AD93"/>
    <mergeCell ref="Y6:AC6"/>
    <mergeCell ref="AD6:AD7"/>
    <mergeCell ref="C6:C7"/>
    <mergeCell ref="H6:J6"/>
    <mergeCell ref="E6:G6"/>
    <mergeCell ref="V6:V7"/>
    <mergeCell ref="W6:W7"/>
    <mergeCell ref="S6:S7"/>
    <mergeCell ref="D6:D7"/>
    <mergeCell ref="N6:N7"/>
    <mergeCell ref="P6:P7"/>
    <mergeCell ref="Q6:Q7"/>
    <mergeCell ref="R6:R7"/>
    <mergeCell ref="T6:T7"/>
  </mergeCells>
  <pageMargins left="0.7" right="0.7" top="0.75" bottom="0.75" header="0.3" footer="0.3"/>
  <pageSetup scale="42" fitToHeight="0"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B3:H9"/>
  <sheetViews>
    <sheetView zoomScale="85" zoomScaleNormal="85" workbookViewId="0">
      <selection activeCell="D16" sqref="D16"/>
    </sheetView>
  </sheetViews>
  <sheetFormatPr defaultColWidth="8.81640625" defaultRowHeight="15.5" x14ac:dyDescent="0.35"/>
  <cols>
    <col min="1" max="1" width="8.81640625" style="462"/>
    <col min="2" max="2" width="59.6328125" style="462" customWidth="1"/>
    <col min="3" max="8" width="18.6328125" style="462" customWidth="1"/>
    <col min="9" max="16384" width="8.81640625" style="462"/>
  </cols>
  <sheetData>
    <row r="3" spans="2:8" ht="16" thickBot="1" x14ac:dyDescent="0.4">
      <c r="B3" s="461"/>
      <c r="C3" s="461"/>
      <c r="D3" s="461"/>
      <c r="E3" s="461"/>
      <c r="F3" s="461"/>
      <c r="G3" s="461"/>
      <c r="H3" s="461"/>
    </row>
    <row r="4" spans="2:8" ht="47" customHeight="1" thickTop="1" x14ac:dyDescent="0.75">
      <c r="B4" s="463"/>
      <c r="C4" s="464">
        <v>2015</v>
      </c>
      <c r="D4" s="532">
        <v>2016</v>
      </c>
      <c r="E4" s="532">
        <v>2017</v>
      </c>
      <c r="F4" s="532">
        <v>2018</v>
      </c>
      <c r="G4" s="464">
        <v>2019</v>
      </c>
      <c r="H4" s="465" t="s">
        <v>451</v>
      </c>
    </row>
    <row r="5" spans="2:8" ht="47" customHeight="1" x14ac:dyDescent="0.35">
      <c r="B5" s="466" t="s">
        <v>426</v>
      </c>
      <c r="C5" s="467">
        <f>+[2]TableA7!P91</f>
        <v>616.46162984891726</v>
      </c>
      <c r="D5" s="467">
        <v>666.88203228117322</v>
      </c>
      <c r="E5" s="467">
        <v>741.33904188818406</v>
      </c>
      <c r="F5" s="467">
        <v>946.206407625888</v>
      </c>
      <c r="G5" s="468">
        <f>+'Table U1'!AD90</f>
        <v>969.21874060607843</v>
      </c>
      <c r="H5" s="469">
        <f>+G5-C5</f>
        <v>352.75711075716117</v>
      </c>
    </row>
    <row r="6" spans="2:8" ht="47" customHeight="1" x14ac:dyDescent="0.35">
      <c r="B6" s="466" t="s">
        <v>427</v>
      </c>
      <c r="C6" s="531">
        <f>+[2]TableA7!P91/[2]TableA7!C91</f>
        <v>0.3619370081190203</v>
      </c>
      <c r="D6" s="531">
        <v>0.36224558978351656</v>
      </c>
      <c r="E6" s="531">
        <v>0.35975842449750389</v>
      </c>
      <c r="F6" s="531">
        <v>0.35639008352064244</v>
      </c>
      <c r="G6" s="531">
        <f>+'Table U1'!R95</f>
        <v>0.37420932775225652</v>
      </c>
      <c r="H6" s="536">
        <f>+G6-C6</f>
        <v>1.2272319633236217E-2</v>
      </c>
    </row>
    <row r="7" spans="2:8" ht="47" customHeight="1" x14ac:dyDescent="0.35">
      <c r="B7" s="466" t="s">
        <v>428</v>
      </c>
      <c r="C7" s="470">
        <v>188</v>
      </c>
      <c r="D7" s="468">
        <v>194.55151429552814</v>
      </c>
      <c r="E7" s="468">
        <v>211.76910384387639</v>
      </c>
      <c r="F7" s="468">
        <v>242.88342258120588</v>
      </c>
      <c r="G7" s="468">
        <f>+TableC4d!E102</f>
        <v>246.79318540986088</v>
      </c>
      <c r="H7" s="469">
        <f>+G7-C7</f>
        <v>58.793185409860882</v>
      </c>
    </row>
    <row r="8" spans="2:8" ht="47" customHeight="1" thickBot="1" x14ac:dyDescent="0.4">
      <c r="B8" s="471" t="s">
        <v>429</v>
      </c>
      <c r="C8" s="530">
        <v>0.09</v>
      </c>
      <c r="D8" s="530">
        <v>8.8279246563469235E-2</v>
      </c>
      <c r="E8" s="530">
        <v>8.9892875696098218E-2</v>
      </c>
      <c r="F8" s="530">
        <v>9.9017331291928773E-2</v>
      </c>
      <c r="G8" s="530">
        <f>+TableC4d!K102</f>
        <v>0.10003235676728385</v>
      </c>
      <c r="H8" s="535">
        <f>+G8-C8</f>
        <v>1.0032356767283854E-2</v>
      </c>
    </row>
    <row r="9" spans="2:8" ht="16" thickTop="1" x14ac:dyDescent="0.35"/>
  </sheetData>
  <printOptions horizontalCentered="1"/>
  <pageMargins left="0.31496062992125984" right="0.70866141732283472" top="0.74803149606299213" bottom="0.74803149606299213" header="0.31496062992125984" footer="0.31496062992125984"/>
  <pageSetup paperSize="9" scale="84"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2046-2DDA-4AE9-8DD9-AE08602257CE}">
  <dimension ref="B2:G15"/>
  <sheetViews>
    <sheetView workbookViewId="0">
      <selection activeCell="H62" sqref="H62"/>
    </sheetView>
  </sheetViews>
  <sheetFormatPr defaultColWidth="10.26953125" defaultRowHeight="15.5" x14ac:dyDescent="0.35"/>
  <cols>
    <col min="1" max="16384" width="10.26953125" style="789"/>
  </cols>
  <sheetData>
    <row r="2" spans="2:7" x14ac:dyDescent="0.35">
      <c r="B2" s="789" t="s">
        <v>540</v>
      </c>
    </row>
    <row r="4" spans="2:7" x14ac:dyDescent="0.35">
      <c r="C4" s="789" t="s">
        <v>1</v>
      </c>
      <c r="D4" s="789" t="s">
        <v>2</v>
      </c>
      <c r="E4" s="789" t="s">
        <v>3</v>
      </c>
    </row>
    <row r="5" spans="2:7" x14ac:dyDescent="0.35">
      <c r="C5" s="789" t="s">
        <v>541</v>
      </c>
      <c r="D5" s="789" t="s">
        <v>542</v>
      </c>
      <c r="E5" s="789" t="s">
        <v>543</v>
      </c>
      <c r="F5" s="789" t="s">
        <v>544</v>
      </c>
      <c r="G5" s="789" t="s">
        <v>545</v>
      </c>
    </row>
    <row r="6" spans="2:7" x14ac:dyDescent="0.35">
      <c r="B6" s="789" t="s">
        <v>546</v>
      </c>
      <c r="D6" s="789">
        <f>+[11]TableF3!C6</f>
        <v>3.3000000000000002E-2</v>
      </c>
      <c r="E6" s="789">
        <f>+[11]TableF3!D6</f>
        <v>1.0425330907353418E-2</v>
      </c>
      <c r="F6" s="790">
        <f>+AVERAGE('[12]Assets(BoP)'!$E$22:$E$31)</f>
        <v>5.4183261001233426E-2</v>
      </c>
      <c r="G6" s="789">
        <f>+$G$10*F6/$F$10</f>
        <v>7.4985027297472237E-2</v>
      </c>
    </row>
    <row r="7" spans="2:7" x14ac:dyDescent="0.35">
      <c r="B7" s="789" t="s">
        <v>547</v>
      </c>
      <c r="D7" s="789">
        <f>+[11]TableF3!C7</f>
        <v>3.5000000000000003E-2</v>
      </c>
      <c r="E7" s="789">
        <f>+[11]TableF3!D7</f>
        <v>1.1057169144162717E-2</v>
      </c>
      <c r="F7" s="790">
        <f>+AVERAGE('[12]Assets(BoP)'!$E$32:$E$41)</f>
        <v>0.11875856174991901</v>
      </c>
      <c r="G7" s="789">
        <f>+$G$10*F7/$F$10</f>
        <v>0.1643517542147104</v>
      </c>
    </row>
    <row r="8" spans="2:7" x14ac:dyDescent="0.35">
      <c r="B8" s="789" t="s">
        <v>548</v>
      </c>
      <c r="D8" s="789">
        <f>+[11]TableF3!C8</f>
        <v>5.8000000000000003E-2</v>
      </c>
      <c r="E8" s="789">
        <f>+[11]TableF3!D8</f>
        <v>1.8323308867469645E-2</v>
      </c>
      <c r="F8" s="790">
        <f>+AVERAGE('[12]Assets(BoP)'!$E$42:$E$51)</f>
        <v>0.12208950567660745</v>
      </c>
      <c r="G8" s="789">
        <f>+$G$10*F8/$F$10</f>
        <v>0.16896149745743247</v>
      </c>
    </row>
    <row r="9" spans="2:7" x14ac:dyDescent="0.35">
      <c r="B9" s="789" t="s">
        <v>549</v>
      </c>
      <c r="D9" s="789">
        <f>+[11]TableF3!C9</f>
        <v>6.4000000000000001E-2</v>
      </c>
      <c r="E9" s="789">
        <f>+[11]TableF3!D9</f>
        <v>2.0218823577897539E-2</v>
      </c>
      <c r="F9" s="790">
        <f>+AVERAGE('[12]Assets(BoP)'!$E$52:$E$61)</f>
        <v>0.12220571165697844</v>
      </c>
      <c r="G9" s="789">
        <f>+$G$10*F9/$F$10</f>
        <v>0.16912231665600472</v>
      </c>
    </row>
    <row r="10" spans="2:7" x14ac:dyDescent="0.35">
      <c r="B10" s="789" t="s">
        <v>550</v>
      </c>
      <c r="D10" s="789">
        <f>+[11]TableF3!C10</f>
        <v>0.111</v>
      </c>
      <c r="E10" s="789">
        <f>+[11]TableF3!D10</f>
        <v>3.5067022142916043E-2</v>
      </c>
      <c r="F10" s="790">
        <f>+AVERAGE('[12]Assets(BoP)'!$E$62:$E$71)</f>
        <v>0.10405292616906572</v>
      </c>
      <c r="G10" s="789">
        <f>+AVERAGE('Data F3'!E19:E23)</f>
        <v>0.14400040464511066</v>
      </c>
    </row>
    <row r="11" spans="2:7" x14ac:dyDescent="0.35">
      <c r="B11" s="789" t="s">
        <v>551</v>
      </c>
      <c r="C11" s="789">
        <f>+[11]TableF3!B11</f>
        <v>4.2017242747818324E-2</v>
      </c>
      <c r="D11" s="789">
        <f>+[11]TableF3!C11</f>
        <v>0.13300000000000001</v>
      </c>
      <c r="E11" s="789">
        <f>+[11]TableF3!D11</f>
        <v>4.2017242747818324E-2</v>
      </c>
      <c r="G11" s="789">
        <f>+AVERAGE('Data F3'!E24:E33)</f>
        <v>0.15333686202469374</v>
      </c>
    </row>
    <row r="12" spans="2:7" x14ac:dyDescent="0.35">
      <c r="B12" s="789" t="s">
        <v>552</v>
      </c>
      <c r="C12" s="789">
        <f>+[11]TableF3!B12</f>
        <v>5.4207827423913016E-2</v>
      </c>
      <c r="D12" s="789">
        <f>+[11]TableF3!C12</f>
        <v>0.13100000000000001</v>
      </c>
      <c r="E12" s="789">
        <f>+[11]TableF3!D12</f>
        <v>5.4207827423913016E-2</v>
      </c>
      <c r="G12" s="789">
        <f>+AVERAGE('Data F3'!E34:E43)</f>
        <v>0.16208177287530798</v>
      </c>
    </row>
    <row r="13" spans="2:7" x14ac:dyDescent="0.35">
      <c r="B13" s="789" t="s">
        <v>553</v>
      </c>
      <c r="C13" s="789">
        <f>+[11]TableF3!B13</f>
        <v>0.13052595912927956</v>
      </c>
      <c r="D13" s="789">
        <f>+[11]TableF3!C13</f>
        <v>0.20399999999999999</v>
      </c>
      <c r="E13" s="789">
        <f>+[11]TableF3!D13</f>
        <v>0.13052595912927956</v>
      </c>
      <c r="G13" s="789">
        <f>+AVERAGE('Data F3'!E44:E53)</f>
        <v>0.17428607900178558</v>
      </c>
    </row>
    <row r="14" spans="2:7" x14ac:dyDescent="0.35">
      <c r="B14" s="789" t="s">
        <v>554</v>
      </c>
      <c r="C14" s="789">
        <f>+[11]TableF3!B14</f>
        <v>0.16181784544476441</v>
      </c>
      <c r="D14" s="789">
        <f>+[11]TableF3!C14</f>
        <v>0.223</v>
      </c>
      <c r="E14" s="789">
        <f>+[11]TableF3!D14</f>
        <v>0.16181784544476441</v>
      </c>
      <c r="G14" s="789">
        <f>+AVERAGE('Data F3'!E54:E59)</f>
        <v>0.18365096917282242</v>
      </c>
    </row>
    <row r="15" spans="2:7" x14ac:dyDescent="0.35">
      <c r="B15" s="789" t="s">
        <v>555</v>
      </c>
      <c r="C15" s="789" t="e">
        <f>+AVERAGE('Data F4'!#REF!)</f>
        <v>#REF!</v>
      </c>
      <c r="E15" s="791">
        <f>+AVERAGE('Data F4'!V78:V81)</f>
        <v>0.16880000000000001</v>
      </c>
      <c r="G15" s="789">
        <v>0.19289999999999999</v>
      </c>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
  <sheetViews>
    <sheetView workbookViewId="0">
      <selection activeCell="G29" sqref="G29"/>
    </sheetView>
  </sheetViews>
  <sheetFormatPr defaultColWidth="8.81640625" defaultRowHeight="15.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pageSetUpPr fitToPage="1"/>
  </sheetPr>
  <dimension ref="A1:X233"/>
  <sheetViews>
    <sheetView zoomScale="81" zoomScaleNormal="70" workbookViewId="0">
      <pane xSplit="5" ySplit="8" topLeftCell="G34" activePane="bottomRight" state="frozen"/>
      <selection activeCell="G244" sqref="G244"/>
      <selection pane="topRight" activeCell="G244" sqref="G244"/>
      <selection pane="bottomLeft" activeCell="G244" sqref="G244"/>
      <selection pane="bottomRight" activeCell="K228" sqref="K228"/>
    </sheetView>
  </sheetViews>
  <sheetFormatPr defaultColWidth="7.6328125" defaultRowHeight="12.5" x14ac:dyDescent="0.25"/>
  <cols>
    <col min="1" max="1" width="8" style="1" hidden="1" customWidth="1"/>
    <col min="2" max="2" width="13" style="1" hidden="1" customWidth="1"/>
    <col min="3" max="4" width="7.6328125" style="1" hidden="1" customWidth="1"/>
    <col min="5" max="5" width="26.1796875" style="1" customWidth="1"/>
    <col min="6" max="10" width="11.81640625" style="1" customWidth="1"/>
    <col min="11" max="15" width="11.81640625" style="2" customWidth="1"/>
    <col min="16" max="18" width="11.81640625" style="1" customWidth="1"/>
    <col min="19" max="19" width="11.81640625" style="2" customWidth="1"/>
    <col min="20" max="20" width="11.81640625" style="1" customWidth="1"/>
    <col min="21" max="16384" width="7.6328125" style="1"/>
  </cols>
  <sheetData>
    <row r="1" spans="2:24" ht="12" customHeight="1" thickBot="1" x14ac:dyDescent="0.3">
      <c r="P1" s="2"/>
    </row>
    <row r="2" spans="2:24" ht="33" customHeight="1" x14ac:dyDescent="0.25">
      <c r="B2" s="1" t="s">
        <v>0</v>
      </c>
      <c r="E2" s="593" t="s">
        <v>447</v>
      </c>
      <c r="F2" s="594"/>
      <c r="G2" s="594"/>
      <c r="H2" s="594"/>
      <c r="I2" s="594"/>
      <c r="J2" s="594"/>
      <c r="K2" s="594"/>
      <c r="L2" s="594"/>
      <c r="M2" s="594"/>
      <c r="N2" s="594"/>
      <c r="O2" s="594"/>
      <c r="P2" s="594"/>
      <c r="Q2" s="594"/>
      <c r="R2" s="594"/>
      <c r="S2" s="594"/>
      <c r="T2" s="595"/>
    </row>
    <row r="3" spans="2:24" ht="18" x14ac:dyDescent="0.4">
      <c r="E3" s="192"/>
      <c r="F3" s="3"/>
      <c r="G3" s="3"/>
      <c r="H3" s="3"/>
      <c r="I3" s="3"/>
      <c r="J3" s="3"/>
      <c r="K3" s="3"/>
      <c r="L3" s="3"/>
      <c r="M3" s="3"/>
      <c r="N3" s="3"/>
      <c r="O3" s="3"/>
      <c r="P3" s="3"/>
      <c r="Q3" s="3"/>
      <c r="R3" s="3"/>
      <c r="S3" s="3"/>
      <c r="T3" s="193"/>
    </row>
    <row r="4" spans="2:24" ht="18" x14ac:dyDescent="0.4">
      <c r="E4" s="192"/>
      <c r="F4" s="194" t="s">
        <v>1</v>
      </c>
      <c r="G4" s="194" t="s">
        <v>2</v>
      </c>
      <c r="H4" s="194" t="s">
        <v>3</v>
      </c>
      <c r="I4" s="194" t="s">
        <v>4</v>
      </c>
      <c r="J4" s="194" t="s">
        <v>5</v>
      </c>
      <c r="K4" s="194" t="s">
        <v>6</v>
      </c>
      <c r="L4" s="4" t="s">
        <v>7</v>
      </c>
      <c r="M4" s="194" t="s">
        <v>8</v>
      </c>
      <c r="N4" s="194" t="s">
        <v>9</v>
      </c>
      <c r="O4" s="194" t="s">
        <v>10</v>
      </c>
      <c r="P4" s="194" t="s">
        <v>11</v>
      </c>
      <c r="Q4" s="194" t="s">
        <v>12</v>
      </c>
      <c r="R4" s="194" t="s">
        <v>13</v>
      </c>
      <c r="S4" s="194" t="s">
        <v>14</v>
      </c>
      <c r="T4" s="195" t="s">
        <v>331</v>
      </c>
    </row>
    <row r="5" spans="2:24" ht="21.75" customHeight="1" thickBot="1" x14ac:dyDescent="0.45">
      <c r="E5" s="192"/>
      <c r="F5" s="596" t="s">
        <v>15</v>
      </c>
      <c r="G5" s="597"/>
      <c r="H5" s="597"/>
      <c r="I5" s="597"/>
      <c r="J5" s="597"/>
      <c r="K5" s="597"/>
      <c r="L5" s="597"/>
      <c r="M5" s="597"/>
      <c r="N5" s="597"/>
      <c r="O5" s="597"/>
      <c r="P5" s="597"/>
      <c r="Q5" s="597"/>
      <c r="R5" s="597"/>
      <c r="S5" s="597"/>
      <c r="T5" s="598"/>
    </row>
    <row r="6" spans="2:24" ht="32.25" customHeight="1" x14ac:dyDescent="0.35">
      <c r="B6" s="1" t="s">
        <v>16</v>
      </c>
      <c r="E6" s="196"/>
      <c r="F6" s="599" t="s">
        <v>17</v>
      </c>
      <c r="G6" s="600"/>
      <c r="H6" s="600"/>
      <c r="I6" s="600"/>
      <c r="J6" s="600"/>
      <c r="K6" s="601" t="s">
        <v>18</v>
      </c>
      <c r="L6" s="602"/>
      <c r="M6" s="602"/>
      <c r="N6" s="602"/>
      <c r="O6" s="602"/>
      <c r="P6" s="599" t="s">
        <v>19</v>
      </c>
      <c r="Q6" s="600"/>
      <c r="R6" s="600"/>
      <c r="S6" s="600"/>
      <c r="T6" s="197" t="s">
        <v>20</v>
      </c>
    </row>
    <row r="7" spans="2:24" ht="78" customHeight="1" x14ac:dyDescent="0.35">
      <c r="E7" s="196"/>
      <c r="F7" s="589" t="s">
        <v>324</v>
      </c>
      <c r="G7" s="587" t="s">
        <v>22</v>
      </c>
      <c r="H7" s="587" t="s">
        <v>323</v>
      </c>
      <c r="I7" s="587" t="s">
        <v>346</v>
      </c>
      <c r="J7" s="587" t="s">
        <v>23</v>
      </c>
      <c r="K7" s="591" t="s">
        <v>24</v>
      </c>
      <c r="L7" s="198" t="s">
        <v>25</v>
      </c>
      <c r="M7" s="198" t="s">
        <v>26</v>
      </c>
      <c r="N7" s="587" t="s">
        <v>27</v>
      </c>
      <c r="O7" s="587" t="s">
        <v>28</v>
      </c>
      <c r="P7" s="589" t="s">
        <v>21</v>
      </c>
      <c r="Q7" s="587" t="s">
        <v>22</v>
      </c>
      <c r="R7" s="587" t="s">
        <v>323</v>
      </c>
      <c r="S7" s="587" t="s">
        <v>29</v>
      </c>
      <c r="T7" s="579" t="s">
        <v>30</v>
      </c>
    </row>
    <row r="8" spans="2:24" s="5" customFormat="1" ht="66" customHeight="1" x14ac:dyDescent="0.35">
      <c r="E8" s="199"/>
      <c r="F8" s="590"/>
      <c r="G8" s="588"/>
      <c r="H8" s="588"/>
      <c r="I8" s="588"/>
      <c r="J8" s="588"/>
      <c r="K8" s="592"/>
      <c r="L8" s="72"/>
      <c r="M8" s="72"/>
      <c r="N8" s="588"/>
      <c r="O8" s="588"/>
      <c r="P8" s="590"/>
      <c r="Q8" s="588"/>
      <c r="R8" s="588"/>
      <c r="S8" s="588"/>
      <c r="T8" s="580"/>
    </row>
    <row r="9" spans="2:24" s="5" customFormat="1" ht="40" customHeight="1" x14ac:dyDescent="0.35">
      <c r="E9" s="200" t="s">
        <v>31</v>
      </c>
      <c r="F9" s="201">
        <f>SUM(F10:F44)</f>
        <v>1259891.0914804407</v>
      </c>
      <c r="G9" s="202">
        <f t="shared" ref="G9:T9" si="0">SUM(G10:G44)</f>
        <v>1285082.8360000001</v>
      </c>
      <c r="H9" s="202">
        <f t="shared" si="0"/>
        <v>1146557.1469999999</v>
      </c>
      <c r="I9" s="202">
        <f t="shared" si="0"/>
        <v>326985.46780499996</v>
      </c>
      <c r="J9" s="202">
        <f t="shared" si="0"/>
        <v>70660.002727469808</v>
      </c>
      <c r="K9" s="203">
        <f t="shared" si="0"/>
        <v>163877.66666666666</v>
      </c>
      <c r="L9" s="202">
        <f t="shared" si="0"/>
        <v>124981</v>
      </c>
      <c r="M9" s="202">
        <f t="shared" si="0"/>
        <v>38896.666666666664</v>
      </c>
      <c r="N9" s="202">
        <f t="shared" si="0"/>
        <v>0</v>
      </c>
      <c r="O9" s="202">
        <f t="shared" si="0"/>
        <v>0</v>
      </c>
      <c r="P9" s="201">
        <f t="shared" si="0"/>
        <v>1869151.2222320253</v>
      </c>
      <c r="Q9" s="202">
        <f t="shared" si="0"/>
        <v>1869877.057</v>
      </c>
      <c r="R9" s="202">
        <f t="shared" si="0"/>
        <v>928105.35899999994</v>
      </c>
      <c r="S9" s="202">
        <f t="shared" si="0"/>
        <v>941045.86323202518</v>
      </c>
      <c r="T9" s="204">
        <f t="shared" si="0"/>
        <v>127379.20000000001</v>
      </c>
    </row>
    <row r="10" spans="2:24" ht="14.25" customHeight="1" x14ac:dyDescent="0.35">
      <c r="D10" s="1" t="str">
        <f>+VLOOKUP(E10,[7]Sheet1!$A$1:$C$65536,3,0)</f>
        <v>AUS</v>
      </c>
      <c r="E10" s="205" t="s">
        <v>32</v>
      </c>
      <c r="F10" s="6">
        <f>+'[2]OECD.Stat export'!N12</f>
        <v>42673.941752970997</v>
      </c>
      <c r="G10" s="7">
        <f>+IFERROR(IFERROR(VLOOKUP(D10,[2]IMF_fdi_credit_debitinc!$A:$C,3,0),VLOOKUP(E10,[2]IMF_fdi_credit_debitinc!$A:$C,3,0)),0)/1000000</f>
        <v>0</v>
      </c>
      <c r="H10" s="7">
        <f>+VLOOKUP(D10,[2]OECD_COUNTERDO_INCOME!A:B,2,0)</f>
        <v>26730.261999999999</v>
      </c>
      <c r="I10" s="7">
        <f>+VLOOKUP(E10,'[2]CBC- IRS'!A:L,6,0)/1000</f>
        <v>10330.567518</v>
      </c>
      <c r="J10" s="7">
        <f>+G10-H10</f>
        <v>-26730.261999999999</v>
      </c>
      <c r="K10" s="8"/>
      <c r="L10" s="7"/>
      <c r="M10" s="7"/>
      <c r="N10" s="7"/>
      <c r="O10" s="7"/>
      <c r="P10" s="6">
        <f>+'[2]OECD.Stat export'!O12</f>
        <v>16989.643428095002</v>
      </c>
      <c r="Q10" s="7">
        <f>+IFERROR(IFERROR(VLOOKUP(D10,[2]IMF_fdi_credit_debitinc!$A:$C,2,0),VLOOKUP(O10,[2]IMF_fdi_credit_debitinc!$A:$C,2,0)),0)/1000000</f>
        <v>0</v>
      </c>
      <c r="R10" s="7">
        <f>+IFERROR(VLOOKUP(D10,[2]OECD_COUNTERDI_INCOME!A:B,2,0),0)</f>
        <v>6982.01</v>
      </c>
      <c r="S10" s="7">
        <f t="shared" ref="S10:S44" si="1">+P10-R10</f>
        <v>10007.633428095001</v>
      </c>
      <c r="T10" s="206">
        <f>+-IFERROR(IF(VLOOKUP(TableB10!$D10,[2]totaldisc_DO_less_DI!$A:$B,2,0)&lt;0,VLOOKUP(TableB10!$D10,[2]totaldisc_DO_less_DI!$A:$B,2,0),0),0)</f>
        <v>0</v>
      </c>
    </row>
    <row r="11" spans="2:24" ht="14.25" customHeight="1" x14ac:dyDescent="0.35">
      <c r="D11" s="1" t="str">
        <f>+VLOOKUP(E11,[7]Sheet1!$A$1:$C$65536,3,0)</f>
        <v>AUT</v>
      </c>
      <c r="E11" s="205" t="s">
        <v>33</v>
      </c>
      <c r="F11" s="6">
        <f>+'[2]OECD.Stat export'!N13</f>
        <v>15731.557147654999</v>
      </c>
      <c r="G11" s="7">
        <f>+IFERROR(IFERROR(VLOOKUP(D11,[2]IMF_fdi_credit_debitinc!$A:$C,3,0),VLOOKUP(E11,[2]IMF_fdi_credit_debitinc!$A:$C,3,0)),0)/1000000</f>
        <v>14885.1</v>
      </c>
      <c r="H11" s="7">
        <f>+VLOOKUP(D11,[2]OECD_COUNTERDO_INCOME!A:B,2,0)</f>
        <v>12845.888999999999</v>
      </c>
      <c r="I11" s="7">
        <f>+VLOOKUP(E11,'[2]CBC- IRS'!A:L,6,0)/1000</f>
        <v>1127.7167979999999</v>
      </c>
      <c r="J11" s="7">
        <f t="shared" ref="J11:J44" si="2">+F11-H11</f>
        <v>2885.6681476550002</v>
      </c>
      <c r="K11" s="8"/>
      <c r="L11" s="7"/>
      <c r="M11" s="7"/>
      <c r="N11" s="7"/>
      <c r="O11" s="7"/>
      <c r="P11" s="6">
        <f>+'[2]OECD.Stat export'!O13</f>
        <v>16333.818426061</v>
      </c>
      <c r="Q11" s="7">
        <f>+IFERROR(IFERROR(VLOOKUP(D11,[2]IMF_fdi_credit_debitinc!$A:$C,2,0),VLOOKUP(O11,[2]IMF_fdi_credit_debitinc!$A:$C,2,0)),0)/1000000</f>
        <v>16511.099999999999</v>
      </c>
      <c r="R11" s="7">
        <f>+IFERROR(VLOOKUP(D11,[2]OECD_COUNTERDI_INCOME!A:B,2,0),0)</f>
        <v>12660.477000000001</v>
      </c>
      <c r="S11" s="7">
        <f t="shared" si="1"/>
        <v>3673.3414260609989</v>
      </c>
      <c r="T11" s="206">
        <f>+-IFERROR(IF(VLOOKUP(TableB10!$D11,[2]totaldisc_DO_less_DI!$A:$B,2,0)&lt;0,VLOOKUP(TableB10!$D11,[2]totaldisc_DO_less_DI!$A:$B,2,0),0),0)</f>
        <v>2799</v>
      </c>
    </row>
    <row r="12" spans="2:24" ht="14.25" customHeight="1" x14ac:dyDescent="0.35">
      <c r="D12" s="1" t="str">
        <f>+VLOOKUP(E12,[7]Sheet1!$A$1:$C$65536,3,0)</f>
        <v>BEL</v>
      </c>
      <c r="E12" s="205" t="s">
        <v>34</v>
      </c>
      <c r="F12" s="6">
        <f>+'[2]OECD.Stat export'!N14</f>
        <v>38508.899585804997</v>
      </c>
      <c r="G12" s="7">
        <f>+IFERROR(IFERROR(VLOOKUP(D12,[2]IMF_fdi_credit_debitinc!$A:$C,3,0),VLOOKUP(E12,[2]IMF_fdi_credit_debitinc!$A:$C,3,0)),0)/1000000</f>
        <v>45521.2</v>
      </c>
      <c r="H12" s="7">
        <f>+VLOOKUP(D12,[2]OECD_COUNTERDO_INCOME!A:B,2,0)</f>
        <v>44281.338000000003</v>
      </c>
      <c r="I12" s="7">
        <f>+VLOOKUP(E12,'[2]CBC- IRS'!A:L,6,0)/1000</f>
        <v>7638.7174050000003</v>
      </c>
      <c r="J12" s="7">
        <f t="shared" si="2"/>
        <v>-5772.4384141950068</v>
      </c>
      <c r="K12" s="8"/>
      <c r="L12" s="7"/>
      <c r="M12" s="7"/>
      <c r="N12" s="7"/>
      <c r="O12" s="7"/>
      <c r="P12" s="6">
        <f>+'[2]OECD.Stat export'!O14</f>
        <v>36325.982312772998</v>
      </c>
      <c r="Q12" s="7">
        <f>+IFERROR(IFERROR(VLOOKUP(D12,[2]IMF_fdi_credit_debitinc!$A:$C,2,0),VLOOKUP(O12,[2]IMF_fdi_credit_debitinc!$A:$C,2,0)),0)/1000000</f>
        <v>39649.300000000003</v>
      </c>
      <c r="R12" s="7">
        <f>+IFERROR(VLOOKUP(D12,[2]OECD_COUNTERDI_INCOME!A:B,2,0),0)</f>
        <v>22768.156999999999</v>
      </c>
      <c r="S12" s="7">
        <f t="shared" si="1"/>
        <v>13557.825312772999</v>
      </c>
      <c r="T12" s="206">
        <f>+-IFERROR(IF(VLOOKUP(TableB10!$D12,[2]totaldisc_DO_less_DI!$A:$B,2,0)&lt;0,VLOOKUP(TableB10!$D12,[2]totaldisc_DO_less_DI!$A:$B,2,0),0),0)</f>
        <v>0</v>
      </c>
    </row>
    <row r="13" spans="2:24" ht="14.25" customHeight="1" x14ac:dyDescent="0.35">
      <c r="D13" s="1" t="str">
        <f>+VLOOKUP(E13,[7]Sheet1!$A$1:$C$65536,3,0)</f>
        <v>CAN</v>
      </c>
      <c r="E13" s="205" t="s">
        <v>35</v>
      </c>
      <c r="F13" s="6">
        <f>+'[2]OECD.Stat export'!N15</f>
        <v>41289.329170459998</v>
      </c>
      <c r="G13" s="7">
        <f>+IFERROR(IFERROR(VLOOKUP(D13,[2]IMF_fdi_credit_debitinc!$A:$C,3,0),VLOOKUP(E13,[2]IMF_fdi_credit_debitinc!$A:$C,3,0)),0)/1000000</f>
        <v>41551.800000000003</v>
      </c>
      <c r="H13" s="7">
        <f>+VLOOKUP(D13,[2]OECD_COUNTERDO_INCOME!A:B,2,0)</f>
        <v>36081.497000000003</v>
      </c>
      <c r="I13" s="7">
        <f>+VLOOKUP(E13,'[2]CBC- IRS'!A:L,6,0)/1000</f>
        <v>25116.145340999999</v>
      </c>
      <c r="J13" s="7">
        <f t="shared" si="2"/>
        <v>5207.8321704599948</v>
      </c>
      <c r="K13" s="8"/>
      <c r="L13" s="7"/>
      <c r="M13" s="7"/>
      <c r="N13" s="7"/>
      <c r="O13" s="7"/>
      <c r="P13" s="6">
        <f>+'[2]OECD.Stat export'!O15</f>
        <v>63515.081075207003</v>
      </c>
      <c r="Q13" s="7">
        <f>+IFERROR(IFERROR(VLOOKUP(D13,[2]IMF_fdi_credit_debitinc!$A:$C,2,0),VLOOKUP(O13,[2]IMF_fdi_credit_debitinc!$A:$C,2,0)),0)/1000000</f>
        <v>64026.3</v>
      </c>
      <c r="R13" s="7">
        <f>+IFERROR(VLOOKUP(D13,[2]OECD_COUNTERDI_INCOME!A:B,2,0),0)</f>
        <v>37640.504999999997</v>
      </c>
      <c r="S13" s="7">
        <f t="shared" si="1"/>
        <v>25874.576075207005</v>
      </c>
      <c r="T13" s="206">
        <f>+-IFERROR(IF(VLOOKUP(TableB10!$D13,[2]totaldisc_DO_less_DI!$A:$B,2,0)&lt;0,VLOOKUP(TableB10!$D13,[2]totaldisc_DO_less_DI!$A:$B,2,0),0),0)</f>
        <v>3497.3</v>
      </c>
    </row>
    <row r="14" spans="2:24" ht="14.25" customHeight="1" x14ac:dyDescent="0.35">
      <c r="D14" s="1" t="str">
        <f>+VLOOKUP(E14,[7]Sheet1!$A$1:$C$65536,3,0)</f>
        <v>CHL</v>
      </c>
      <c r="E14" s="205" t="s">
        <v>36</v>
      </c>
      <c r="F14" s="6">
        <f>+'[2]OECD.Stat export'!N16</f>
        <v>16025.409673077</v>
      </c>
      <c r="G14" s="7">
        <f>+IFERROR(IFERROR(VLOOKUP(D14,[2]IMF_fdi_credit_debitinc!$A:$C,3,0),VLOOKUP(E14,[2]IMF_fdi_credit_debitinc!$A:$C,3,0)),0)/1000000</f>
        <v>0</v>
      </c>
      <c r="H14" s="7">
        <f>+VLOOKUP(D14,[2]OECD_COUNTERDO_INCOME!A:B,2,0)</f>
        <v>5533.8</v>
      </c>
      <c r="I14" s="7">
        <f>+VLOOKUP(E14,'[2]CBC- IRS'!A:L,6,0)/1000</f>
        <v>2108.8253999999997</v>
      </c>
      <c r="J14" s="7">
        <f t="shared" si="2"/>
        <v>10491.609673077</v>
      </c>
      <c r="K14" s="8"/>
      <c r="L14" s="7"/>
      <c r="M14" s="7"/>
      <c r="N14" s="7"/>
      <c r="O14" s="7"/>
      <c r="P14" s="6">
        <f>+'[2]OECD.Stat export'!O16</f>
        <v>5709.3762826963002</v>
      </c>
      <c r="Q14" s="7">
        <f>+IFERROR(IFERROR(VLOOKUP(D14,[2]IMF_fdi_credit_debitinc!$A:$C,2,0),VLOOKUP(O14,[2]IMF_fdi_credit_debitinc!$A:$C,2,0)),0)/1000000</f>
        <v>0</v>
      </c>
      <c r="R14" s="7">
        <f>+IFERROR(VLOOKUP(D14,[2]OECD_COUNTERDI_INCOME!A:B,2,0),0)</f>
        <v>229.89400000000001</v>
      </c>
      <c r="S14" s="7">
        <f t="shared" si="1"/>
        <v>5479.4822826963</v>
      </c>
      <c r="T14" s="206">
        <f>+-IFERROR(IF(VLOOKUP(TableB10!$D14,[2]totaldisc_DO_less_DI!$A:$B,2,0)&lt;0,VLOOKUP(TableB10!$D14,[2]totaldisc_DO_less_DI!$A:$B,2,0),0),0)</f>
        <v>0</v>
      </c>
      <c r="X14" s="9"/>
    </row>
    <row r="15" spans="2:24" ht="14.25" customHeight="1" x14ac:dyDescent="0.35">
      <c r="D15" s="1" t="str">
        <f>+VLOOKUP(E15,[7]Sheet1!$A$1:$C$65536,3,0)</f>
        <v>CZE</v>
      </c>
      <c r="E15" s="205" t="s">
        <v>37</v>
      </c>
      <c r="F15" s="6">
        <f>+'[2]OECD.Stat export'!N17</f>
        <v>20342.617057184001</v>
      </c>
      <c r="G15" s="7">
        <f>+IFERROR(IFERROR(VLOOKUP(D15,[2]IMF_fdi_credit_debitinc!$A:$C,3,0),VLOOKUP(E15,[2]IMF_fdi_credit_debitinc!$A:$C,3,0)),0)/1000000</f>
        <v>20970</v>
      </c>
      <c r="H15" s="7">
        <f>+VLOOKUP(D15,[2]OECD_COUNTERDO_INCOME!A:B,2,0)</f>
        <v>11113.319</v>
      </c>
      <c r="I15" s="7">
        <f>+VLOOKUP(E15,'[2]CBC- IRS'!A:L,6,0)/1000</f>
        <v>1399.0469480000002</v>
      </c>
      <c r="J15" s="7">
        <f t="shared" si="2"/>
        <v>9229.2980571840017</v>
      </c>
      <c r="K15" s="8"/>
      <c r="L15" s="7"/>
      <c r="M15" s="7"/>
      <c r="N15" s="7"/>
      <c r="O15" s="7"/>
      <c r="P15" s="6">
        <f>+'[2]OECD.Stat export'!O17</f>
        <v>5619.4311219260999</v>
      </c>
      <c r="Q15" s="7">
        <f>+IFERROR(IFERROR(VLOOKUP(D15,[2]IMF_fdi_credit_debitinc!$A:$C,2,0),VLOOKUP(O15,[2]IMF_fdi_credit_debitinc!$A:$C,2,0)),0)/1000000</f>
        <v>4851.1000000000004</v>
      </c>
      <c r="R15" s="7">
        <f>+IFERROR(VLOOKUP(D15,[2]OECD_COUNTERDI_INCOME!A:B,2,0),0)</f>
        <v>744.16300000000001</v>
      </c>
      <c r="S15" s="7">
        <f t="shared" si="1"/>
        <v>4875.2681219260994</v>
      </c>
      <c r="T15" s="206">
        <f>+-IFERROR(IF(VLOOKUP(TableB10!$D15,[2]totaldisc_DO_less_DI!$A:$B,2,0)&lt;0,VLOOKUP(TableB10!$D15,[2]totaldisc_DO_less_DI!$A:$B,2,0),0),0)</f>
        <v>0</v>
      </c>
    </row>
    <row r="16" spans="2:24" ht="14.25" customHeight="1" x14ac:dyDescent="0.35">
      <c r="D16" s="1" t="str">
        <f>+VLOOKUP(E16,[7]Sheet1!$A$1:$C$65536,3,0)</f>
        <v>DNK</v>
      </c>
      <c r="E16" s="205" t="s">
        <v>38</v>
      </c>
      <c r="F16" s="6">
        <f>+'[2]OECD.Stat export'!N18</f>
        <v>7647.2440472620001</v>
      </c>
      <c r="G16" s="7">
        <f>+IFERROR(IFERROR(VLOOKUP(D16,[2]IMF_fdi_credit_debitinc!$A:$C,3,0),VLOOKUP(E16,[2]IMF_fdi_credit_debitinc!$A:$C,3,0)),0)/1000000</f>
        <v>6476.38</v>
      </c>
      <c r="H16" s="7">
        <f>+VLOOKUP(D16,[2]OECD_COUNTERDO_INCOME!A:B,2,0)</f>
        <v>6024.1639999999998</v>
      </c>
      <c r="I16" s="7">
        <f>+VLOOKUP(E16,'[2]CBC- IRS'!A:L,6,0)/1000</f>
        <v>-4886.9908869999999</v>
      </c>
      <c r="J16" s="7">
        <f t="shared" si="2"/>
        <v>1623.0800472620003</v>
      </c>
      <c r="K16" s="8"/>
      <c r="L16" s="7"/>
      <c r="M16" s="7"/>
      <c r="N16" s="7"/>
      <c r="O16" s="7"/>
      <c r="P16" s="6">
        <f>+'[2]OECD.Stat export'!O18</f>
        <v>15689.138127512</v>
      </c>
      <c r="Q16" s="7">
        <f>+IFERROR(IFERROR(VLOOKUP(D16,[2]IMF_fdi_credit_debitinc!$A:$C,2,0),VLOOKUP(O16,[2]IMF_fdi_credit_debitinc!$A:$C,2,0)),0)/1000000</f>
        <v>14011.5</v>
      </c>
      <c r="R16" s="7">
        <f>+IFERROR(VLOOKUP(D16,[2]OECD_COUNTERDI_INCOME!A:B,2,0),0)</f>
        <v>10676.37</v>
      </c>
      <c r="S16" s="7">
        <f t="shared" si="1"/>
        <v>5012.7681275119994</v>
      </c>
      <c r="T16" s="206">
        <f>+-IFERROR(IF(VLOOKUP(TableB10!$D16,[2]totaldisc_DO_less_DI!$A:$B,2,0)&lt;0,VLOOKUP(TableB10!$D16,[2]totaldisc_DO_less_DI!$A:$B,2,0),0),0)</f>
        <v>0</v>
      </c>
    </row>
    <row r="17" spans="4:20" ht="14.25" customHeight="1" x14ac:dyDescent="0.35">
      <c r="D17" s="1" t="str">
        <f>+VLOOKUP(E17,[7]Sheet1!$A$1:$C$65536,3,0)</f>
        <v>EST</v>
      </c>
      <c r="E17" s="205" t="s">
        <v>39</v>
      </c>
      <c r="F17" s="6">
        <f>+'[2]OECD.Stat export'!N19</f>
        <v>1994.8908541363</v>
      </c>
      <c r="G17" s="7">
        <f>+IFERROR(IFERROR(VLOOKUP(D17,[2]IMF_fdi_credit_debitinc!$A:$C,3,0),VLOOKUP(E17,[2]IMF_fdi_credit_debitinc!$A:$C,3,0)),0)/1000000</f>
        <v>1945.61</v>
      </c>
      <c r="H17" s="7">
        <f>+VLOOKUP(D17,[2]OECD_COUNTERDO_INCOME!A:B,2,0)</f>
        <v>1064.1210000000001</v>
      </c>
      <c r="I17" s="7">
        <f>+VLOOKUP(E17,'[2]CBC- IRS'!A:L,6,0)/1000</f>
        <v>53.689962000000001</v>
      </c>
      <c r="J17" s="7">
        <f t="shared" si="2"/>
        <v>930.76985413629995</v>
      </c>
      <c r="K17" s="8"/>
      <c r="L17" s="7"/>
      <c r="M17" s="7"/>
      <c r="N17" s="7"/>
      <c r="O17" s="7"/>
      <c r="P17" s="6">
        <f>+'[2]OECD.Stat export'!O19</f>
        <v>713.16467032352</v>
      </c>
      <c r="Q17" s="7">
        <f>+IFERROR(IFERROR(VLOOKUP(D17,[2]IMF_fdi_credit_debitinc!$A:$C,2,0),VLOOKUP(O17,[2]IMF_fdi_credit_debitinc!$A:$C,2,0)),0)/1000000</f>
        <v>712.14599999999996</v>
      </c>
      <c r="R17" s="7">
        <f>+IFERROR(VLOOKUP(D17,[2]OECD_COUNTERDI_INCOME!A:B,2,0),0)</f>
        <v>506.08800000000002</v>
      </c>
      <c r="S17" s="7">
        <f t="shared" si="1"/>
        <v>207.07667032351998</v>
      </c>
      <c r="T17" s="206">
        <f>+-IFERROR(IF(VLOOKUP(TableB10!$D17,[2]totaldisc_DO_less_DI!$A:$B,2,0)&lt;0,VLOOKUP(TableB10!$D17,[2]totaldisc_DO_less_DI!$A:$B,2,0),0),0)</f>
        <v>0</v>
      </c>
    </row>
    <row r="18" spans="4:20" ht="14.25" customHeight="1" x14ac:dyDescent="0.35">
      <c r="D18" s="1" t="str">
        <f>+VLOOKUP(E18,[7]Sheet1!$A$1:$C$65536,3,0)</f>
        <v>FIN</v>
      </c>
      <c r="E18" s="205" t="s">
        <v>40</v>
      </c>
      <c r="F18" s="6">
        <f>+'[2]OECD.Stat export'!N20</f>
        <v>8323.0717564088009</v>
      </c>
      <c r="G18" s="7">
        <f>+IFERROR(IFERROR(VLOOKUP(D18,[2]IMF_fdi_credit_debitinc!$A:$C,3,0),VLOOKUP(E18,[2]IMF_fdi_credit_debitinc!$A:$C,3,0)),0)/1000000</f>
        <v>7544.08</v>
      </c>
      <c r="H18" s="7">
        <f>+VLOOKUP(D18,[2]OECD_COUNTERDO_INCOME!A:B,2,0)</f>
        <v>5988.2550000000001</v>
      </c>
      <c r="I18" s="7">
        <f>+VLOOKUP(E18,'[2]CBC- IRS'!A:L,6,0)/1000</f>
        <v>243.86339000000001</v>
      </c>
      <c r="J18" s="7">
        <f t="shared" si="2"/>
        <v>2334.8167564088008</v>
      </c>
      <c r="K18" s="8"/>
      <c r="L18" s="7"/>
      <c r="M18" s="7"/>
      <c r="N18" s="7"/>
      <c r="O18" s="7"/>
      <c r="P18" s="6">
        <f>+'[2]OECD.Stat export'!O20</f>
        <v>13652.748236875001</v>
      </c>
      <c r="Q18" s="7">
        <f>+IFERROR(IFERROR(VLOOKUP(D18,[2]IMF_fdi_credit_debitinc!$A:$C,2,0),VLOOKUP(O18,[2]IMF_fdi_credit_debitinc!$A:$C,2,0)),0)/1000000</f>
        <v>10609</v>
      </c>
      <c r="R18" s="7">
        <f>+IFERROR(VLOOKUP(D18,[2]OECD_COUNTERDI_INCOME!A:B,2,0),0)</f>
        <v>7491.7659999999996</v>
      </c>
      <c r="S18" s="7">
        <f t="shared" si="1"/>
        <v>6160.982236875001</v>
      </c>
      <c r="T18" s="206">
        <f>+-IFERROR(IF(VLOOKUP(TableB10!$D18,[2]totaldisc_DO_less_DI!$A:$B,2,0)&lt;0,VLOOKUP(TableB10!$D18,[2]totaldisc_DO_less_DI!$A:$B,2,0),0),0)</f>
        <v>0</v>
      </c>
    </row>
    <row r="19" spans="4:20" ht="14.25" customHeight="1" x14ac:dyDescent="0.35">
      <c r="D19" s="1" t="str">
        <f>+VLOOKUP(E19,[7]Sheet1!$A$1:$C$65536,3,0)</f>
        <v>FRA</v>
      </c>
      <c r="E19" s="205" t="s">
        <v>41</v>
      </c>
      <c r="F19" s="6">
        <f>+'[2]OECD.Stat export'!N21</f>
        <v>31695.118710854</v>
      </c>
      <c r="G19" s="7">
        <f>+IFERROR(IFERROR(VLOOKUP(D19,[2]IMF_fdi_credit_debitinc!$A:$C,3,0),VLOOKUP(E19,[2]IMF_fdi_credit_debitinc!$A:$C,3,0)),0)/1000000</f>
        <v>36451.5</v>
      </c>
      <c r="H19" s="7">
        <f>+VLOOKUP(D19,[2]OECD_COUNTERDO_INCOME!A:B,2,0)</f>
        <v>28178.780999999999</v>
      </c>
      <c r="I19" s="7">
        <f>+VLOOKUP(E19,'[2]CBC- IRS'!A:L,6,0)/1000</f>
        <v>5786.0511660000002</v>
      </c>
      <c r="J19" s="7">
        <f t="shared" si="2"/>
        <v>3516.3377108540008</v>
      </c>
      <c r="K19" s="8"/>
      <c r="L19" s="7"/>
      <c r="M19" s="7"/>
      <c r="N19" s="7"/>
      <c r="O19" s="7"/>
      <c r="P19" s="6">
        <f>+'[2]OECD.Stat export'!O21</f>
        <v>106371.64450275</v>
      </c>
      <c r="Q19" s="7">
        <f>+IFERROR(IFERROR(VLOOKUP(D19,[2]IMF_fdi_credit_debitinc!$A:$C,2,0),VLOOKUP(O19,[2]IMF_fdi_credit_debitinc!$A:$C,2,0)),0)/1000000</f>
        <v>89867.199999999997</v>
      </c>
      <c r="R19" s="7">
        <f>+IFERROR(VLOOKUP(D19,[2]OECD_COUNTERDI_INCOME!A:B,2,0),0)</f>
        <v>50385.101000000002</v>
      </c>
      <c r="S19" s="7">
        <f t="shared" si="1"/>
        <v>55986.543502749999</v>
      </c>
      <c r="T19" s="206">
        <f>+-IFERROR(IF(VLOOKUP(TableB10!$D19,[2]totaldisc_DO_less_DI!$A:$B,2,0)&lt;0,VLOOKUP(TableB10!$D19,[2]totaldisc_DO_less_DI!$A:$B,2,0),0),0)</f>
        <v>0</v>
      </c>
    </row>
    <row r="20" spans="4:20" ht="14.25" customHeight="1" x14ac:dyDescent="0.35">
      <c r="D20" s="1" t="str">
        <f>+VLOOKUP(E20,[7]Sheet1!$A$1:$C$65536,3,0)</f>
        <v>DEU</v>
      </c>
      <c r="E20" s="205" t="s">
        <v>42</v>
      </c>
      <c r="F20" s="6">
        <f>+'[2]OECD.Stat export'!N22</f>
        <v>39365.222209783999</v>
      </c>
      <c r="G20" s="7">
        <f>+IFERROR(IFERROR(VLOOKUP(D20,[2]IMF_fdi_credit_debitinc!$A:$C,3,0),VLOOKUP(E20,[2]IMF_fdi_credit_debitinc!$A:$C,3,0)),0)/1000000</f>
        <v>61919.7</v>
      </c>
      <c r="H20" s="7">
        <f>+VLOOKUP(D20,[2]OECD_COUNTERDO_INCOME!A:B,2,0)</f>
        <v>42261.879000000001</v>
      </c>
      <c r="I20" s="7">
        <f>+VLOOKUP(E20,'[2]CBC- IRS'!A:L,6,0)/1000</f>
        <v>15602.586375999999</v>
      </c>
      <c r="J20" s="7">
        <f t="shared" si="2"/>
        <v>-2896.6567902160023</v>
      </c>
      <c r="K20" s="8"/>
      <c r="L20" s="7"/>
      <c r="M20" s="7"/>
      <c r="N20" s="7"/>
      <c r="O20" s="7"/>
      <c r="P20" s="6">
        <f>+'[2]OECD.Stat export'!O22</f>
        <v>128245.41587373</v>
      </c>
      <c r="Q20" s="7">
        <f>+IFERROR(IFERROR(VLOOKUP(D20,[2]IMF_fdi_credit_debitinc!$A:$C,2,0),VLOOKUP(O20,[2]IMF_fdi_credit_debitinc!$A:$C,2,0)),0)/1000000</f>
        <v>130789</v>
      </c>
      <c r="R20" s="7">
        <f>+IFERROR(VLOOKUP(D20,[2]OECD_COUNTERDI_INCOME!A:B,2,0),0)</f>
        <v>71982.277000000002</v>
      </c>
      <c r="S20" s="7">
        <f t="shared" si="1"/>
        <v>56263.13887373</v>
      </c>
      <c r="T20" s="206">
        <f>+-IFERROR(IF(VLOOKUP(TableB10!$D20,[2]totaldisc_DO_less_DI!$A:$B,2,0)&lt;0,VLOOKUP(TableB10!$D20,[2]totaldisc_DO_less_DI!$A:$B,2,0),0),0)</f>
        <v>0</v>
      </c>
    </row>
    <row r="21" spans="4:20" ht="14.25" customHeight="1" x14ac:dyDescent="0.35">
      <c r="D21" s="1" t="str">
        <f>+VLOOKUP(E21,[7]Sheet1!$A$1:$C$65536,3,0)</f>
        <v>GRC</v>
      </c>
      <c r="E21" s="205" t="s">
        <v>43</v>
      </c>
      <c r="F21" s="6">
        <f>+'[2]OECD.Stat export'!N23</f>
        <v>1868.2913243031001</v>
      </c>
      <c r="G21" s="7">
        <f>+IFERROR(IFERROR(VLOOKUP(D21,[2]IMF_fdi_credit_debitinc!$A:$C,3,0),VLOOKUP(E21,[2]IMF_fdi_credit_debitinc!$A:$C,3,0)),0)/1000000</f>
        <v>1474.37</v>
      </c>
      <c r="H21" s="7">
        <f>+VLOOKUP(D21,[2]OECD_COUNTERDO_INCOME!A:B,2,0)</f>
        <v>852.88199999999995</v>
      </c>
      <c r="I21" s="7">
        <f>+VLOOKUP(E21,'[2]CBC- IRS'!A:L,6,0)/1000</f>
        <v>442.02776299999999</v>
      </c>
      <c r="J21" s="7">
        <f t="shared" si="2"/>
        <v>1015.4093243031001</v>
      </c>
      <c r="K21" s="8"/>
      <c r="L21" s="7"/>
      <c r="M21" s="7"/>
      <c r="N21" s="7"/>
      <c r="O21" s="7"/>
      <c r="P21" s="6">
        <f>+'[2]OECD.Stat export'!O23</f>
        <v>934.72589275718997</v>
      </c>
      <c r="Q21" s="7">
        <f>+IFERROR(IFERROR(VLOOKUP(D21,[2]IMF_fdi_credit_debitinc!$A:$C,2,0),VLOOKUP(O21,[2]IMF_fdi_credit_debitinc!$A:$C,2,0)),0)/1000000</f>
        <v>727.91200000000003</v>
      </c>
      <c r="R21" s="7">
        <f>+IFERROR(VLOOKUP(D21,[2]OECD_COUNTERDI_INCOME!A:B,2,0),0)</f>
        <v>201.18799999999999</v>
      </c>
      <c r="S21" s="7">
        <f t="shared" si="1"/>
        <v>733.53789275718998</v>
      </c>
      <c r="T21" s="206">
        <f>+-IFERROR(IF(VLOOKUP(TableB10!$D21,[2]totaldisc_DO_less_DI!$A:$B,2,0)&lt;0,VLOOKUP(TableB10!$D21,[2]totaldisc_DO_less_DI!$A:$B,2,0),0),0)</f>
        <v>0</v>
      </c>
    </row>
    <row r="22" spans="4:20" ht="14.25" customHeight="1" x14ac:dyDescent="0.35">
      <c r="D22" s="1" t="str">
        <f>+VLOOKUP(E22,[7]Sheet1!$A$1:$C$65536,3,0)</f>
        <v>HUN</v>
      </c>
      <c r="E22" s="205" t="s">
        <v>44</v>
      </c>
      <c r="F22" s="6">
        <f>+'[2]OECD.Stat export'!N24</f>
        <v>15812.221848669</v>
      </c>
      <c r="G22" s="7">
        <f>+IFERROR(IFERROR(VLOOKUP(D22,[2]IMF_fdi_credit_debitinc!$A:$C,3,0),VLOOKUP(E22,[2]IMF_fdi_credit_debitinc!$A:$C,3,0)),0)/1000000</f>
        <v>18184.099999999999</v>
      </c>
      <c r="H22" s="7">
        <f>+VLOOKUP(D22,[2]OECD_COUNTERDO_INCOME!A:B,2,0)</f>
        <v>5297.0280000000002</v>
      </c>
      <c r="I22" s="7">
        <f>+VLOOKUP(E22,'[2]CBC- IRS'!A:L,6,0)/1000</f>
        <v>4773.0793130000002</v>
      </c>
      <c r="J22" s="7">
        <f t="shared" si="2"/>
        <v>10515.193848669</v>
      </c>
      <c r="K22" s="8"/>
      <c r="L22" s="7"/>
      <c r="M22" s="7"/>
      <c r="N22" s="7"/>
      <c r="O22" s="7"/>
      <c r="P22" s="6">
        <f>+'[2]OECD.Stat export'!O24</f>
        <v>8833.6725686556001</v>
      </c>
      <c r="Q22" s="7">
        <f>+IFERROR(IFERROR(VLOOKUP(D22,[2]IMF_fdi_credit_debitinc!$A:$C,2,0),VLOOKUP(O22,[2]IMF_fdi_credit_debitinc!$A:$C,2,0)),0)/1000000</f>
        <v>9524.69</v>
      </c>
      <c r="R22" s="7">
        <f>+IFERROR(VLOOKUP(D22,[2]OECD_COUNTERDI_INCOME!A:B,2,0),0)</f>
        <v>1940.5989999999999</v>
      </c>
      <c r="S22" s="7">
        <f t="shared" si="1"/>
        <v>6893.0735686556</v>
      </c>
      <c r="T22" s="206">
        <f>+-IFERROR(IF(VLOOKUP(TableB10!$D22,[2]totaldisc_DO_less_DI!$A:$B,2,0)&lt;0,VLOOKUP(TableB10!$D22,[2]totaldisc_DO_less_DI!$A:$B,2,0),0),0)</f>
        <v>1152.4000000000001</v>
      </c>
    </row>
    <row r="23" spans="4:20" ht="14.25" customHeight="1" x14ac:dyDescent="0.35">
      <c r="D23" s="1" t="str">
        <f>+VLOOKUP(E23,[7]Sheet1!$A$1:$C$65536,3,0)</f>
        <v>ISL</v>
      </c>
      <c r="E23" s="205" t="s">
        <v>45</v>
      </c>
      <c r="F23" s="6">
        <f>+'[2]OECD.Stat export'!N25</f>
        <v>-266.11163886770998</v>
      </c>
      <c r="G23" s="7">
        <f>+IFERROR(IFERROR(VLOOKUP(D23,[2]IMF_fdi_credit_debitinc!$A:$C,3,0),VLOOKUP(E23,[2]IMF_fdi_credit_debitinc!$A:$C,3,0)),0)/1000000</f>
        <v>-210.54400000000001</v>
      </c>
      <c r="H23" s="7">
        <f>+VLOOKUP(D23,[2]OECD_COUNTERDO_INCOME!A:B,2,0)</f>
        <v>83.063999999999993</v>
      </c>
      <c r="I23" s="7">
        <f>+VLOOKUP(E23,'[2]CBC- IRS'!A:L,6,0)/1000</f>
        <v>-246.898708</v>
      </c>
      <c r="J23" s="7">
        <f t="shared" si="2"/>
        <v>-349.17563886770995</v>
      </c>
      <c r="K23" s="8"/>
      <c r="L23" s="7"/>
      <c r="M23" s="7"/>
      <c r="N23" s="7"/>
      <c r="O23" s="7"/>
      <c r="P23" s="6">
        <f>+'[2]OECD.Stat export'!O25</f>
        <v>324.20201163601001</v>
      </c>
      <c r="Q23" s="7">
        <f>+IFERROR(IFERROR(VLOOKUP(D23,[2]IMF_fdi_credit_debitinc!$A:$C,2,0),VLOOKUP(O23,[2]IMF_fdi_credit_debitinc!$A:$C,2,0)),0)/1000000</f>
        <v>365.30099999999999</v>
      </c>
      <c r="R23" s="7">
        <f>+IFERROR(VLOOKUP(D23,[2]OECD_COUNTERDI_INCOME!A:B,2,0),0)</f>
        <v>245.21600000000001</v>
      </c>
      <c r="S23" s="7">
        <f t="shared" si="1"/>
        <v>78.986011636010005</v>
      </c>
      <c r="T23" s="206">
        <f>+-IFERROR(IF(VLOOKUP(TableB10!$D23,[2]totaldisc_DO_less_DI!$A:$B,2,0)&lt;0,VLOOKUP(TableB10!$D23,[2]totaldisc_DO_less_DI!$A:$B,2,0),0),0)</f>
        <v>0</v>
      </c>
    </row>
    <row r="24" spans="4:20" ht="14.25" customHeight="1" x14ac:dyDescent="0.35">
      <c r="D24" s="1" t="str">
        <f>+VLOOKUP(E24,[7]Sheet1!$A$1:$C$65536,3,0)</f>
        <v>IRL</v>
      </c>
      <c r="E24" s="205" t="s">
        <v>46</v>
      </c>
      <c r="F24" s="6">
        <f>+'[2]OECD.Stat export'!N26</f>
        <v>94837.120788089</v>
      </c>
      <c r="G24" s="7">
        <f>+IFERROR(IFERROR(VLOOKUP(D24,[2]IMF_fdi_credit_debitinc!$A:$C,3,0),VLOOKUP(E24,[2]IMF_fdi_credit_debitinc!$A:$C,3,0)),0)/1000000</f>
        <v>98435.6</v>
      </c>
      <c r="H24" s="7">
        <f>+VLOOKUP(D24,[2]OECD_COUNTERDO_INCOME!A:B,2,0)</f>
        <v>90444.918999999994</v>
      </c>
      <c r="I24" s="7">
        <f>+VLOOKUP(E24,'[2]CBC- IRS'!A:L,6,0)/1000</f>
        <v>55102.285107000003</v>
      </c>
      <c r="J24" s="7">
        <f t="shared" si="2"/>
        <v>4392.2017880890053</v>
      </c>
      <c r="K24" s="8">
        <f>+TableB11!E37*1000*(1/TableB11!$G$6)</f>
        <v>44984.1</v>
      </c>
      <c r="L24" s="7">
        <f>+TableB11!C37*1000*(1/TableB11!$G$6)</f>
        <v>44984.1</v>
      </c>
      <c r="M24" s="7">
        <f>+K24-L24</f>
        <v>0</v>
      </c>
      <c r="N24" s="7"/>
      <c r="O24" s="7"/>
      <c r="P24" s="6">
        <f>+'[2]OECD.Stat export'!O26</f>
        <v>17406.246501735</v>
      </c>
      <c r="Q24" s="7">
        <f>+IFERROR(IFERROR(VLOOKUP(D24,[2]IMF_fdi_credit_debitinc!$A:$C,2,0),VLOOKUP(O24,[2]IMF_fdi_credit_debitinc!$A:$C,2,0)),0)/1000000</f>
        <v>19526.5</v>
      </c>
      <c r="R24" s="7">
        <f>+IFERROR(VLOOKUP(D24,[2]OECD_COUNTERDI_INCOME!A:B,2,0),0)</f>
        <v>26593.914000000001</v>
      </c>
      <c r="S24" s="7">
        <f t="shared" si="1"/>
        <v>-9187.6674982650002</v>
      </c>
      <c r="T24" s="206">
        <f>+-IFERROR(IF(VLOOKUP(TableB10!$D24,[2]totaldisc_DO_less_DI!$A:$B,2,0)&lt;0,VLOOKUP(TableB10!$D24,[2]totaldisc_DO_less_DI!$A:$B,2,0),0),0)</f>
        <v>6347.6</v>
      </c>
    </row>
    <row r="25" spans="4:20" ht="14.25" customHeight="1" x14ac:dyDescent="0.35">
      <c r="D25" s="1" t="str">
        <f>+VLOOKUP(E25,[7]Sheet1!$A$1:$C$65536,3,0)</f>
        <v>ISR</v>
      </c>
      <c r="E25" s="205" t="s">
        <v>47</v>
      </c>
      <c r="F25" s="6">
        <f>+'[2]OECD.Stat export'!N27</f>
        <v>17823.547520429998</v>
      </c>
      <c r="G25" s="7">
        <f>+IFERROR(IFERROR(VLOOKUP(D25,[2]IMF_fdi_credit_debitinc!$A:$C,3,0),VLOOKUP(E25,[2]IMF_fdi_credit_debitinc!$A:$C,3,0)),0)/1000000</f>
        <v>6623.6</v>
      </c>
      <c r="H25" s="7">
        <f>+VLOOKUP(D25,[2]OECD_COUNTERDO_INCOME!A:B,2,0)</f>
        <v>1633.7090000000001</v>
      </c>
      <c r="I25" s="7">
        <f>+VLOOKUP(E25,'[2]CBC- IRS'!A:L,6,0)/1000</f>
        <v>3541.4332999999997</v>
      </c>
      <c r="J25" s="7">
        <f t="shared" si="2"/>
        <v>16189.838520429998</v>
      </c>
      <c r="K25" s="8"/>
      <c r="L25" s="7"/>
      <c r="M25" s="7"/>
      <c r="N25" s="7"/>
      <c r="O25" s="7"/>
      <c r="P25" s="6">
        <f>+'[2]OECD.Stat export'!O27</f>
        <v>28627.907757752</v>
      </c>
      <c r="Q25" s="7">
        <f>+IFERROR(IFERROR(VLOOKUP(D25,[2]IMF_fdi_credit_debitinc!$A:$C,2,0),VLOOKUP(O25,[2]IMF_fdi_credit_debitinc!$A:$C,2,0)),0)/1000000</f>
        <v>7022.3</v>
      </c>
      <c r="R25" s="7">
        <f>+IFERROR(VLOOKUP(D25,[2]OECD_COUNTERDI_INCOME!A:B,2,0),0)</f>
        <v>1451.7049999999999</v>
      </c>
      <c r="S25" s="7">
        <f t="shared" si="1"/>
        <v>27176.202757751998</v>
      </c>
      <c r="T25" s="206">
        <f>+-IFERROR(IF(VLOOKUP(TableB10!$D25,[2]totaldisc_DO_less_DI!$A:$B,2,0)&lt;0,VLOOKUP(TableB10!$D25,[2]totaldisc_DO_less_DI!$A:$B,2,0),0),0)</f>
        <v>0</v>
      </c>
    </row>
    <row r="26" spans="4:20" ht="14.25" customHeight="1" x14ac:dyDescent="0.35">
      <c r="D26" s="1" t="str">
        <f>+VLOOKUP(E26,[7]Sheet1!$A$1:$C$65536,3,0)</f>
        <v>ITA</v>
      </c>
      <c r="E26" s="205" t="s">
        <v>48</v>
      </c>
      <c r="F26" s="6">
        <f>+'[2]OECD.Stat export'!N28</f>
        <v>33504.331662172001</v>
      </c>
      <c r="G26" s="7">
        <f>+IFERROR(IFERROR(VLOOKUP(D26,[2]IMF_fdi_credit_debitinc!$A:$C,3,0),VLOOKUP(E26,[2]IMF_fdi_credit_debitinc!$A:$C,3,0)),0)/1000000</f>
        <v>14553</v>
      </c>
      <c r="H26" s="7">
        <f>+VLOOKUP(D26,[2]OECD_COUNTERDO_INCOME!A:B,2,0)</f>
        <v>20499.905999999999</v>
      </c>
      <c r="I26" s="7">
        <f>+VLOOKUP(E26,'[2]CBC- IRS'!A:L,6,0)/1000</f>
        <v>3279.207101</v>
      </c>
      <c r="J26" s="7">
        <f t="shared" si="2"/>
        <v>13004.425662172001</v>
      </c>
      <c r="K26" s="8"/>
      <c r="L26" s="7"/>
      <c r="M26" s="7"/>
      <c r="N26" s="7"/>
      <c r="O26" s="7"/>
      <c r="P26" s="6">
        <f>+'[2]OECD.Stat export'!O28</f>
        <v>136709.42236251</v>
      </c>
      <c r="Q26" s="7">
        <f>+IFERROR(IFERROR(VLOOKUP(D26,[2]IMF_fdi_credit_debitinc!$A:$C,2,0),VLOOKUP(O26,[2]IMF_fdi_credit_debitinc!$A:$C,2,0)),0)/1000000</f>
        <v>25231.8</v>
      </c>
      <c r="R26" s="7">
        <f>+IFERROR(VLOOKUP(D26,[2]OECD_COUNTERDI_INCOME!A:B,2,0),0)</f>
        <v>15294.395</v>
      </c>
      <c r="S26" s="7">
        <f t="shared" si="1"/>
        <v>121415.02736250999</v>
      </c>
      <c r="T26" s="206">
        <f>+-IFERROR(IF(VLOOKUP(TableB10!$D26,[2]totaldisc_DO_less_DI!$A:$B,2,0)&lt;0,VLOOKUP(TableB10!$D26,[2]totaldisc_DO_less_DI!$A:$B,2,0),0),0)</f>
        <v>0</v>
      </c>
    </row>
    <row r="27" spans="4:20" ht="14.25" customHeight="1" x14ac:dyDescent="0.35">
      <c r="D27" s="1" t="str">
        <f>+VLOOKUP(E27,[7]Sheet1!$A$1:$C$65536,3,0)</f>
        <v>JPN</v>
      </c>
      <c r="E27" s="205" t="s">
        <v>49</v>
      </c>
      <c r="F27" s="6">
        <f>+'[2]OECD.Stat export'!N29</f>
        <v>3443.02</v>
      </c>
      <c r="G27" s="7">
        <f>+IFERROR(IFERROR(VLOOKUP(D27,[2]IMF_fdi_credit_debitinc!$A:$C,3,0),VLOOKUP(E27,[2]IMF_fdi_credit_debitinc!$A:$C,3,0)),0)/1000000</f>
        <v>34860.5</v>
      </c>
      <c r="H27" s="7">
        <f>+VLOOKUP(D27,[2]OECD_COUNTERDO_INCOME!A:B,2,0)</f>
        <v>18087.455000000002</v>
      </c>
      <c r="I27" s="7">
        <f>+VLOOKUP(E27,'[2]CBC- IRS'!A:L,6,0)/1000</f>
        <v>27950.660903</v>
      </c>
      <c r="J27" s="7">
        <f t="shared" si="2"/>
        <v>-14644.435000000001</v>
      </c>
      <c r="K27" s="8"/>
      <c r="L27" s="7"/>
      <c r="M27" s="7"/>
      <c r="N27" s="7"/>
      <c r="O27" s="7"/>
      <c r="P27" s="6">
        <f>+'[2]OECD.Stat export'!O29</f>
        <v>9063.48</v>
      </c>
      <c r="Q27" s="7">
        <f>+IFERROR(IFERROR(VLOOKUP(D27,[2]IMF_fdi_credit_debitinc!$A:$C,2,0),VLOOKUP(O27,[2]IMF_fdi_credit_debitinc!$A:$C,2,0)),0)/1000000</f>
        <v>132346</v>
      </c>
      <c r="R27" s="7">
        <f>+IFERROR(VLOOKUP(D27,[2]OECD_COUNTERDI_INCOME!A:B,2,0),0)</f>
        <v>46038.637000000002</v>
      </c>
      <c r="S27" s="7">
        <f t="shared" si="1"/>
        <v>-36975.157000000007</v>
      </c>
      <c r="T27" s="206">
        <f>+-IFERROR(IF(VLOOKUP(TableB10!$D27,[2]totaldisc_DO_less_DI!$A:$B,2,0)&lt;0,VLOOKUP(TableB10!$D27,[2]totaldisc_DO_less_DI!$A:$B,2,0),0),0)</f>
        <v>0</v>
      </c>
    </row>
    <row r="28" spans="4:20" ht="14.25" customHeight="1" x14ac:dyDescent="0.35">
      <c r="D28" s="1" t="s">
        <v>320</v>
      </c>
      <c r="E28" s="205" t="s">
        <v>50</v>
      </c>
      <c r="F28" s="6">
        <f>+'[2]OECD.Stat export'!N30</f>
        <v>1623.1948953318999</v>
      </c>
      <c r="G28" s="7">
        <f>+IFERROR(IFERROR(VLOOKUP(D28,[2]IMF_fdi_credit_debitinc!$A:$C,3,0),VLOOKUP(E28,[2]IMF_fdi_credit_debitinc!$A:$C,3,0)),0)/1000000</f>
        <v>13755.2</v>
      </c>
      <c r="H28" s="7">
        <f>+VLOOKUP(D28,[2]OECD_COUNTERDO_INCOME!A:B,2,0)</f>
        <v>14760.72</v>
      </c>
      <c r="I28" s="7"/>
      <c r="J28" s="7">
        <f t="shared" si="2"/>
        <v>-13137.525104668099</v>
      </c>
      <c r="K28" s="8"/>
      <c r="L28" s="7"/>
      <c r="M28" s="7"/>
      <c r="N28" s="7"/>
      <c r="O28" s="7"/>
      <c r="P28" s="6">
        <f>+'[2]OECD.Stat export'!O30</f>
        <v>113.06392029553</v>
      </c>
      <c r="Q28" s="7">
        <f>+IFERROR(IFERROR(VLOOKUP(D28,[2]IMF_fdi_credit_debitinc!$A:$C,2,0),VLOOKUP(O28,[2]IMF_fdi_credit_debitinc!$A:$C,2,0)),0)/1000000</f>
        <v>17606.7</v>
      </c>
      <c r="R28" s="7">
        <f>+IFERROR(VLOOKUP(D28,[2]OECD_COUNTERDI_INCOME!A:B,2,0),0)</f>
        <v>3570.0430000000001</v>
      </c>
      <c r="S28" s="7">
        <f t="shared" si="1"/>
        <v>-3456.9790797044702</v>
      </c>
      <c r="T28" s="206">
        <f>+-IFERROR(IF(VLOOKUP(TableB10!$D28,[2]totaldisc_DO_less_DI!$A:$B,2,0)&lt;0,VLOOKUP(TableB10!$D28,[2]totaldisc_DO_less_DI!$A:$B,2,0),0),0)</f>
        <v>1464.9</v>
      </c>
    </row>
    <row r="29" spans="4:20" ht="14.25" customHeight="1" x14ac:dyDescent="0.35">
      <c r="D29" s="1" t="str">
        <f>+VLOOKUP(E29,[7]Sheet1!$A$1:$C$65536,3,0)</f>
        <v>LVA</v>
      </c>
      <c r="E29" s="205" t="s">
        <v>51</v>
      </c>
      <c r="F29" s="6">
        <f>+'[2]OECD.Stat export'!N31</f>
        <v>2317.8887271912999</v>
      </c>
      <c r="G29" s="7">
        <f>+IFERROR(IFERROR(VLOOKUP(D29,[2]IMF_fdi_credit_debitinc!$A:$C,3,0),VLOOKUP(E29,[2]IMF_fdi_credit_debitinc!$A:$C,3,0)),0)/1000000</f>
        <v>1650.89</v>
      </c>
      <c r="H29" s="7">
        <f>+VLOOKUP(D29,[2]OECD_COUNTERDO_INCOME!A:B,2,0)</f>
        <v>780.85500000000002</v>
      </c>
      <c r="I29" s="7">
        <f>+VLOOKUP(E29,'[2]CBC- IRS'!A:L,6,0)/1000</f>
        <v>25.709095000000001</v>
      </c>
      <c r="J29" s="7">
        <f t="shared" si="2"/>
        <v>1537.0337271912999</v>
      </c>
      <c r="K29" s="8"/>
      <c r="L29" s="7"/>
      <c r="M29" s="7"/>
      <c r="N29" s="7"/>
      <c r="O29" s="7"/>
      <c r="P29" s="6">
        <f>+'[2]OECD.Stat export'!O31</f>
        <v>229.75484159857001</v>
      </c>
      <c r="Q29" s="7">
        <f>+IFERROR(IFERROR(VLOOKUP(D29,[2]IMF_fdi_credit_debitinc!$A:$C,2,0),VLOOKUP(O29,[2]IMF_fdi_credit_debitinc!$A:$C,2,0)),0)/1000000</f>
        <v>141.511</v>
      </c>
      <c r="R29" s="7">
        <f>+IFERROR(VLOOKUP(D29,[2]OECD_COUNTERDI_INCOME!A:B,2,0),0)</f>
        <v>128.065</v>
      </c>
      <c r="S29" s="7">
        <f t="shared" si="1"/>
        <v>101.68984159857001</v>
      </c>
      <c r="T29" s="206">
        <f>+-IFERROR(IF(VLOOKUP(TableB10!$D29,[2]totaldisc_DO_less_DI!$A:$B,2,0)&lt;0,VLOOKUP(TableB10!$D29,[2]totaldisc_DO_less_DI!$A:$B,2,0),0),0)</f>
        <v>92.2</v>
      </c>
    </row>
    <row r="30" spans="4:20" ht="14.25" customHeight="1" x14ac:dyDescent="0.35">
      <c r="D30" s="1" t="str">
        <f>+VLOOKUP(E30,[7]Sheet1!$A$1:$C$65536,3,0)</f>
        <v>LUX</v>
      </c>
      <c r="E30" s="205" t="s">
        <v>52</v>
      </c>
      <c r="F30" s="6">
        <f>+'[2]OECD.Stat export'!N32</f>
        <v>115405.79872383</v>
      </c>
      <c r="G30" s="7">
        <f>+IFERROR(IFERROR(VLOOKUP(D30,[2]IMF_fdi_credit_debitinc!$A:$C,3,0),VLOOKUP(E30,[2]IMF_fdi_credit_debitinc!$A:$C,3,0)),0)/1000000</f>
        <v>91042.4</v>
      </c>
      <c r="H30" s="7">
        <f>+VLOOKUP(D30,[2]OECD_COUNTERDO_INCOME!A:B,2,0)</f>
        <v>80171.165999999997</v>
      </c>
      <c r="I30" s="7">
        <f>+VLOOKUP(E30,'[2]CBC- IRS'!A:L,6,0)/1000</f>
        <v>-14420.260532</v>
      </c>
      <c r="J30" s="7">
        <f t="shared" si="2"/>
        <v>35234.63272383</v>
      </c>
      <c r="K30" s="8">
        <f>+TableB11!E35*1000*(1/TableB11!G6)</f>
        <v>53878.847619047614</v>
      </c>
      <c r="L30" s="7">
        <f>+TableB11!C35*1000*(1/TableB11!G6)</f>
        <v>14882.3</v>
      </c>
      <c r="M30" s="7">
        <f>+K30-L30</f>
        <v>38996.547619047618</v>
      </c>
      <c r="N30" s="7"/>
      <c r="O30" s="7"/>
      <c r="P30" s="6">
        <f>+'[2]OECD.Stat export'!O32</f>
        <v>143643.79267883001</v>
      </c>
      <c r="Q30" s="7">
        <f>+IFERROR(IFERROR(VLOOKUP(D30,[2]IMF_fdi_credit_debitinc!$A:$C,2,0),VLOOKUP(O30,[2]IMF_fdi_credit_debitinc!$A:$C,2,0)),0)/1000000</f>
        <v>119432</v>
      </c>
      <c r="R30" s="7">
        <f>+IFERROR(VLOOKUP(D30,[2]OECD_COUNTERDI_INCOME!A:B,2,0),0)</f>
        <v>108518.47500000001</v>
      </c>
      <c r="S30" s="7">
        <f t="shared" si="1"/>
        <v>35125.317678830004</v>
      </c>
      <c r="T30" s="206">
        <f>+-IFERROR(IF(VLOOKUP(TableB10!$D30,[2]totaldisc_DO_less_DI!$A:$B,2,0)&lt;0,VLOOKUP(TableB10!$D30,[2]totaldisc_DO_less_DI!$A:$B,2,0),0),0)</f>
        <v>0</v>
      </c>
    </row>
    <row r="31" spans="4:20" ht="14.25" customHeight="1" x14ac:dyDescent="0.35">
      <c r="D31" s="1" t="str">
        <f>+VLOOKUP(E31,[7]Sheet1!$A$1:$C$65536,3,0)</f>
        <v>MEX</v>
      </c>
      <c r="E31" s="205" t="s">
        <v>53</v>
      </c>
      <c r="F31" s="6">
        <f>+G31</f>
        <v>24188.9</v>
      </c>
      <c r="G31" s="7">
        <f>+IFERROR(IFERROR(VLOOKUP(D31,[2]IMF_fdi_credit_debitinc!$A:$C,3,0),VLOOKUP(E31,[2]IMF_fdi_credit_debitinc!$A:$C,3,0)),0)/1000000</f>
        <v>24188.9</v>
      </c>
      <c r="H31" s="7">
        <f>+VLOOKUP(D31,[2]OECD_COUNTERDO_INCOME!A:B,2,0)</f>
        <v>22948.524000000001</v>
      </c>
      <c r="I31" s="7">
        <f>+VLOOKUP(E31,'[2]CBC- IRS'!A:L,6,0)/1000</f>
        <v>16165.84851</v>
      </c>
      <c r="J31" s="7">
        <f t="shared" si="2"/>
        <v>1240.3760000000002</v>
      </c>
      <c r="K31" s="8"/>
      <c r="L31" s="7"/>
      <c r="M31" s="7"/>
      <c r="N31" s="7"/>
      <c r="O31" s="7"/>
      <c r="P31" s="6">
        <f>+Q31</f>
        <v>5513.14</v>
      </c>
      <c r="Q31" s="7">
        <f>+IFERROR(IFERROR(VLOOKUP(D31,[2]IMF_fdi_credit_debitinc!$A:$C,2,0),VLOOKUP(O31,[2]IMF_fdi_credit_debitinc!$A:$C,2,0)),0)/1000000</f>
        <v>5513.14</v>
      </c>
      <c r="R31" s="7">
        <f>+IFERROR(VLOOKUP(D31,[2]OECD_COUNTERDI_INCOME!A:B,2,0),0)</f>
        <v>2735.4560000000001</v>
      </c>
      <c r="S31" s="7">
        <f t="shared" si="1"/>
        <v>2777.6840000000002</v>
      </c>
      <c r="T31" s="206">
        <f>+-IFERROR(IF(VLOOKUP(TableB10!$D31,[2]totaldisc_DO_less_DI!$A:$B,2,0)&lt;0,VLOOKUP(TableB10!$D31,[2]totaldisc_DO_less_DI!$A:$B,2,0),0),0)</f>
        <v>0</v>
      </c>
    </row>
    <row r="32" spans="4:20" ht="14.25" customHeight="1" x14ac:dyDescent="0.35">
      <c r="D32" s="1" t="str">
        <f>+VLOOKUP(E32,[7]Sheet1!$A$1:$C$65536,3,0)</f>
        <v>NLD</v>
      </c>
      <c r="E32" s="205" t="s">
        <v>54</v>
      </c>
      <c r="F32" s="6">
        <f>+'[2]OECD.Stat export'!N34</f>
        <v>193605.47528154001</v>
      </c>
      <c r="G32" s="7">
        <f>+IFERROR(IFERROR(VLOOKUP(D32,[2]IMF_fdi_credit_debitinc!$A:$C,3,0),VLOOKUP(E32,[2]IMF_fdi_credit_debitinc!$A:$C,3,0)),0)/1000000</f>
        <v>234372</v>
      </c>
      <c r="H32" s="7">
        <f>+VLOOKUP(D32,[2]OECD_COUNTERDO_INCOME!A:B,2,0)</f>
        <v>197028.204</v>
      </c>
      <c r="I32" s="7">
        <f>+VLOOKUP(E32,'[2]CBC- IRS'!A:L,6,0)/1000</f>
        <v>88564.569424000001</v>
      </c>
      <c r="J32" s="7">
        <f>+F32-H32</f>
        <v>-3422.7287184599845</v>
      </c>
      <c r="K32" s="8">
        <f>+TableB11!E36*1000/TableB11!G6</f>
        <v>65014.719047619044</v>
      </c>
      <c r="L32" s="7">
        <f>+TableB11!C36*1000/TableB11!G6</f>
        <v>65114.6</v>
      </c>
      <c r="M32" s="7">
        <f>+K32-L32</f>
        <v>-99.880952380954113</v>
      </c>
      <c r="N32" s="7"/>
      <c r="O32" s="7"/>
      <c r="P32" s="6">
        <f>+'[2]OECD.Stat export'!O34</f>
        <v>231946.45815516001</v>
      </c>
      <c r="Q32" s="7">
        <f>+IFERROR(IFERROR(VLOOKUP(D32,[2]IMF_fdi_credit_debitinc!$A:$C,2,0),VLOOKUP(O32,[2]IMF_fdi_credit_debitinc!$A:$C,2,0)),0)/1000000</f>
        <v>275164</v>
      </c>
      <c r="R32" s="7">
        <f>+IFERROR(VLOOKUP(D32,[2]OECD_COUNTERDI_INCOME!A:B,2,0),0)</f>
        <v>169462.76199999999</v>
      </c>
      <c r="S32" s="7">
        <f t="shared" si="1"/>
        <v>62483.696155160025</v>
      </c>
      <c r="T32" s="206">
        <f>+-IFERROR(IF(VLOOKUP(TableB10!$D32,[2]totaldisc_DO_less_DI!$A:$B,2,0)&lt;0,VLOOKUP(TableB10!$D32,[2]totaldisc_DO_less_DI!$A:$B,2,0),0),0)</f>
        <v>94191.3</v>
      </c>
    </row>
    <row r="33" spans="1:20" ht="14.25" customHeight="1" x14ac:dyDescent="0.35">
      <c r="D33" s="1" t="str">
        <f>+VLOOKUP(E33,[7]Sheet1!$A$1:$C$65536,3,0)</f>
        <v>NZL</v>
      </c>
      <c r="E33" s="205" t="s">
        <v>55</v>
      </c>
      <c r="F33" s="6">
        <f>+'[2]OECD.Stat export'!N35</f>
        <v>5801.0540184453002</v>
      </c>
      <c r="G33" s="7">
        <f>+IFERROR(IFERROR(VLOOKUP(D33,[2]IMF_fdi_credit_debitinc!$A:$C,3,0),VLOOKUP(E33,[2]IMF_fdi_credit_debitinc!$A:$C,3,0)),0)/1000000</f>
        <v>5998.73</v>
      </c>
      <c r="H33" s="7">
        <f>+VLOOKUP(D33,[2]OECD_COUNTERDO_INCOME!A:B,2,0)</f>
        <v>4113.9309999999996</v>
      </c>
      <c r="I33" s="7">
        <f>+VLOOKUP(E33,'[2]CBC- IRS'!A:L,6,0)/1000</f>
        <v>776.56249600000001</v>
      </c>
      <c r="J33" s="7">
        <f t="shared" si="2"/>
        <v>1687.1230184453007</v>
      </c>
      <c r="K33" s="8"/>
      <c r="L33" s="7"/>
      <c r="M33" s="7"/>
      <c r="N33" s="7"/>
      <c r="O33" s="7"/>
      <c r="P33" s="6">
        <f>+'[2]OECD.Stat export'!O35</f>
        <v>608.69565217391005</v>
      </c>
      <c r="Q33" s="7">
        <f>+IFERROR(IFERROR(VLOOKUP(D33,[2]IMF_fdi_credit_debitinc!$A:$C,2,0),VLOOKUP(O33,[2]IMF_fdi_credit_debitinc!$A:$C,2,0)),0)/1000000</f>
        <v>694.73699999999997</v>
      </c>
      <c r="R33" s="7">
        <f>+IFERROR(VLOOKUP(D33,[2]OECD_COUNTERDI_INCOME!A:B,2,0),0)</f>
        <v>457.46300000000002</v>
      </c>
      <c r="S33" s="7">
        <f t="shared" si="1"/>
        <v>151.23265217391003</v>
      </c>
      <c r="T33" s="206">
        <f>+-IFERROR(IF(VLOOKUP(TableB10!$D33,[2]totaldisc_DO_less_DI!$A:$B,2,0)&lt;0,VLOOKUP(TableB10!$D33,[2]totaldisc_DO_less_DI!$A:$B,2,0),0),0)</f>
        <v>134.4</v>
      </c>
    </row>
    <row r="34" spans="1:20" ht="14.25" customHeight="1" x14ac:dyDescent="0.35">
      <c r="D34" s="1" t="str">
        <f>+VLOOKUP(E34,[7]Sheet1!$A$1:$C$65536,3,0)</f>
        <v>NOR</v>
      </c>
      <c r="E34" s="205" t="s">
        <v>56</v>
      </c>
      <c r="F34" s="6">
        <f>+'[2]OECD.Stat export'!N36</f>
        <v>13438.274270907001</v>
      </c>
      <c r="G34" s="7">
        <f>+IFERROR(IFERROR(VLOOKUP(D34,[2]IMF_fdi_credit_debitinc!$A:$C,3,0),VLOOKUP(E34,[2]IMF_fdi_credit_debitinc!$A:$C,3,0)),0)/1000000</f>
        <v>10689.3</v>
      </c>
      <c r="H34" s="7">
        <f>+VLOOKUP(D34,[2]OECD_COUNTERDO_INCOME!A:B,2,0)</f>
        <v>7787.9440000000004</v>
      </c>
      <c r="I34" s="7">
        <f>+VLOOKUP(E34,'[2]CBC- IRS'!A:L,6,0)/1000</f>
        <v>864.74631000000011</v>
      </c>
      <c r="J34" s="7">
        <f t="shared" si="2"/>
        <v>5650.3302709070003</v>
      </c>
      <c r="K34" s="8"/>
      <c r="L34" s="7"/>
      <c r="M34" s="7"/>
      <c r="N34" s="7"/>
      <c r="O34" s="7"/>
      <c r="P34" s="6">
        <f>+'[2]OECD.Stat export'!O36</f>
        <v>5478.1442502215996</v>
      </c>
      <c r="Q34" s="7">
        <f>+IFERROR(IFERROR(VLOOKUP(D34,[2]IMF_fdi_credit_debitinc!$A:$C,2,0),VLOOKUP(O34,[2]IMF_fdi_credit_debitinc!$A:$C,2,0)),0)/1000000</f>
        <v>9127.2999999999993</v>
      </c>
      <c r="R34" s="7">
        <f>+IFERROR(VLOOKUP(D34,[2]OECD_COUNTERDI_INCOME!A:B,2,0),0)</f>
        <v>4519.8059999999996</v>
      </c>
      <c r="S34" s="7">
        <f t="shared" si="1"/>
        <v>958.33825022159999</v>
      </c>
      <c r="T34" s="206">
        <f>+-IFERROR(IF(VLOOKUP(TableB10!$D34,[2]totaldisc_DO_less_DI!$A:$B,2,0)&lt;0,VLOOKUP(TableB10!$D34,[2]totaldisc_DO_less_DI!$A:$B,2,0),0),0)</f>
        <v>1774.4</v>
      </c>
    </row>
    <row r="35" spans="1:20" ht="14.25" customHeight="1" x14ac:dyDescent="0.35">
      <c r="D35" s="1" t="str">
        <f>+VLOOKUP(E35,[7]Sheet1!$A$1:$C$65536,3,0)</f>
        <v>POL</v>
      </c>
      <c r="E35" s="205" t="s">
        <v>57</v>
      </c>
      <c r="F35" s="6">
        <f>+'[2]OECD.Stat export'!N37</f>
        <v>23372.454955955</v>
      </c>
      <c r="G35" s="7">
        <f>+IFERROR(IFERROR(VLOOKUP(D35,[2]IMF_fdi_credit_debitinc!$A:$C,3,0),VLOOKUP(E35,[2]IMF_fdi_credit_debitinc!$A:$C,3,0)),0)/1000000</f>
        <v>25762</v>
      </c>
      <c r="H35" s="7">
        <f>+VLOOKUP(D35,[2]OECD_COUNTERDO_INCOME!A:B,2,0)</f>
        <v>12408.945</v>
      </c>
      <c r="I35" s="7">
        <f>+VLOOKUP(E35,'[2]CBC- IRS'!A:L,6,0)/1000</f>
        <v>2966.7886589999998</v>
      </c>
      <c r="J35" s="7">
        <f t="shared" si="2"/>
        <v>10963.509955955</v>
      </c>
      <c r="K35" s="8"/>
      <c r="L35" s="7"/>
      <c r="M35" s="7"/>
      <c r="N35" s="7"/>
      <c r="O35" s="7"/>
      <c r="P35" s="6">
        <f>+'[2]OECD.Stat export'!O37</f>
        <v>2301.4882516971002</v>
      </c>
      <c r="Q35" s="7">
        <f>+IFERROR(IFERROR(VLOOKUP(D35,[2]IMF_fdi_credit_debitinc!$A:$C,2,0),VLOOKUP(O35,[2]IMF_fdi_credit_debitinc!$A:$C,2,0)),0)/1000000</f>
        <v>1571</v>
      </c>
      <c r="R35" s="7">
        <f>+IFERROR(VLOOKUP(D35,[2]OECD_COUNTERDI_INCOME!A:B,2,0),0)</f>
        <v>816.06500000000005</v>
      </c>
      <c r="S35" s="7">
        <f t="shared" si="1"/>
        <v>1485.4232516971001</v>
      </c>
      <c r="T35" s="206">
        <f>+-IFERROR(IF(VLOOKUP(TableB10!$D35,[2]totaldisc_DO_less_DI!$A:$B,2,0)&lt;0,VLOOKUP(TableB10!$D35,[2]totaldisc_DO_less_DI!$A:$B,2,0),0),0)</f>
        <v>0</v>
      </c>
    </row>
    <row r="36" spans="1:20" ht="14.25" customHeight="1" x14ac:dyDescent="0.35">
      <c r="D36" s="1" t="str">
        <f>+VLOOKUP(E36,[7]Sheet1!$A$1:$C$65536,3,0)</f>
        <v>PRT</v>
      </c>
      <c r="E36" s="205" t="s">
        <v>58</v>
      </c>
      <c r="F36" s="6">
        <f>+'[2]OECD.Stat export'!N38</f>
        <v>7314.4520317921997</v>
      </c>
      <c r="G36" s="7">
        <f>+IFERROR(IFERROR(VLOOKUP(D36,[2]IMF_fdi_credit_debitinc!$A:$C,3,0),VLOOKUP(E36,[2]IMF_fdi_credit_debitinc!$A:$C,3,0)),0)/1000000</f>
        <v>7934.12</v>
      </c>
      <c r="H36" s="7">
        <f>+VLOOKUP(D36,[2]OECD_COUNTERDO_INCOME!A:B,2,0)</f>
        <v>5767.5290000000005</v>
      </c>
      <c r="I36" s="7">
        <f>+VLOOKUP(E36,'[2]CBC- IRS'!A:L,6,0)/1000</f>
        <v>602.2708100000001</v>
      </c>
      <c r="J36" s="7">
        <f t="shared" si="2"/>
        <v>1546.9230317921993</v>
      </c>
      <c r="K36" s="8"/>
      <c r="L36" s="7"/>
      <c r="M36" s="7"/>
      <c r="N36" s="7"/>
      <c r="O36" s="7"/>
      <c r="P36" s="6">
        <f>+'[2]OECD.Stat export'!O38</f>
        <v>3019.1425053173998</v>
      </c>
      <c r="Q36" s="7">
        <f>+IFERROR(IFERROR(VLOOKUP(D36,[2]IMF_fdi_credit_debitinc!$A:$C,2,0),VLOOKUP(O36,[2]IMF_fdi_credit_debitinc!$A:$C,2,0)),0)/1000000</f>
        <v>3605.46</v>
      </c>
      <c r="R36" s="7">
        <f>+IFERROR(VLOOKUP(D36,[2]OECD_COUNTERDI_INCOME!A:B,2,0),0)</f>
        <v>685.22400000000005</v>
      </c>
      <c r="S36" s="7">
        <f t="shared" si="1"/>
        <v>2333.9185053173996</v>
      </c>
      <c r="T36" s="206">
        <f>+-IFERROR(IF(VLOOKUP(TableB10!$D36,[2]totaldisc_DO_less_DI!$A:$B,2,0)&lt;0,VLOOKUP(TableB10!$D36,[2]totaldisc_DO_less_DI!$A:$B,2,0),0),0)</f>
        <v>9.3000000000000007</v>
      </c>
    </row>
    <row r="37" spans="1:20" ht="14.25" customHeight="1" x14ac:dyDescent="0.35">
      <c r="D37" s="1" t="str">
        <f>+VLOOKUP(E37,[7]Sheet1!$A$1:$C$65536,3,0)</f>
        <v>SVK</v>
      </c>
      <c r="E37" s="205" t="s">
        <v>59</v>
      </c>
      <c r="F37" s="6">
        <f>+'[2]OECD.Stat export'!N39</f>
        <v>5028.6430213814001</v>
      </c>
      <c r="G37" s="7">
        <f>+IFERROR(IFERROR(VLOOKUP(D37,[2]IMF_fdi_credit_debitinc!$A:$C,3,0),VLOOKUP(E37,[2]IMF_fdi_credit_debitinc!$A:$C,3,0)),0)/1000000</f>
        <v>4815.45</v>
      </c>
      <c r="H37" s="7">
        <f>+VLOOKUP(D37,[2]OECD_COUNTERDO_INCOME!A:B,2,0)</f>
        <v>3537.3330000000001</v>
      </c>
      <c r="I37" s="7"/>
      <c r="J37" s="7">
        <f t="shared" si="2"/>
        <v>1491.3100213814</v>
      </c>
      <c r="K37" s="8"/>
      <c r="L37" s="7"/>
      <c r="M37" s="7"/>
      <c r="N37" s="7"/>
      <c r="O37" s="7"/>
      <c r="P37" s="6">
        <f>+'[2]OECD.Stat export'!O39</f>
        <v>356.28732004926002</v>
      </c>
      <c r="Q37" s="7">
        <f>+IFERROR(IFERROR(VLOOKUP(D37,[2]IMF_fdi_credit_debitinc!$A:$C,2,0),VLOOKUP(O37,[2]IMF_fdi_credit_debitinc!$A:$C,2,0)),0)/1000000</f>
        <v>525.85599999999999</v>
      </c>
      <c r="R37" s="7">
        <f>+IFERROR(VLOOKUP(D37,[2]OECD_COUNTERDI_INCOME!A:B,2,0),0)</f>
        <v>342.39</v>
      </c>
      <c r="S37" s="7">
        <f t="shared" si="1"/>
        <v>13.897320049260031</v>
      </c>
      <c r="T37" s="206">
        <f>+-IFERROR(IF(VLOOKUP(TableB10!$D37,[2]totaldisc_DO_less_DI!$A:$B,2,0)&lt;0,VLOOKUP(TableB10!$D37,[2]totaldisc_DO_less_DI!$A:$B,2,0),0),0)</f>
        <v>50.6</v>
      </c>
    </row>
    <row r="38" spans="1:20" ht="14.25" customHeight="1" x14ac:dyDescent="0.35">
      <c r="D38" s="1" t="str">
        <f>+VLOOKUP(E38,[7]Sheet1!$A$1:$C$65536,3,0)</f>
        <v>SVN</v>
      </c>
      <c r="E38" s="205" t="s">
        <v>60</v>
      </c>
      <c r="F38" s="6">
        <f>+'[2]OECD.Stat export'!N40</f>
        <v>1618.0308966752</v>
      </c>
      <c r="G38" s="7">
        <f>+IFERROR(IFERROR(VLOOKUP(D38,[2]IMF_fdi_credit_debitinc!$A:$C,3,0),VLOOKUP(E38,[2]IMF_fdi_credit_debitinc!$A:$C,3,0)),0)/1000000</f>
        <v>1271.25</v>
      </c>
      <c r="H38" s="7">
        <f>+VLOOKUP(D38,[2]OECD_COUNTERDO_INCOME!A:B,2,0)</f>
        <v>835.34100000000001</v>
      </c>
      <c r="I38" s="7">
        <f>+VLOOKUP(E38,'[2]CBC- IRS'!A:L,6,0)/1000</f>
        <v>92.987099000000001</v>
      </c>
      <c r="J38" s="7">
        <f t="shared" si="2"/>
        <v>782.68989667519998</v>
      </c>
      <c r="K38" s="8"/>
      <c r="L38" s="7"/>
      <c r="M38" s="7"/>
      <c r="N38" s="7"/>
      <c r="O38" s="7"/>
      <c r="P38" s="6">
        <f>+'[2]OECD.Stat export'!O40</f>
        <v>376.32038508900001</v>
      </c>
      <c r="Q38" s="7">
        <f>+IFERROR(IFERROR(VLOOKUP(D38,[2]IMF_fdi_credit_debitinc!$A:$C,2,0),VLOOKUP(O38,[2]IMF_fdi_credit_debitinc!$A:$C,2,0)),0)/1000000</f>
        <v>263.10399999999998</v>
      </c>
      <c r="R38" s="7">
        <f>+IFERROR(VLOOKUP(D38,[2]OECD_COUNTERDI_INCOME!A:B,2,0),0)</f>
        <v>66.489999999999995</v>
      </c>
      <c r="S38" s="7">
        <f t="shared" si="1"/>
        <v>309.830385089</v>
      </c>
      <c r="T38" s="206">
        <f>+-IFERROR(IF(VLOOKUP(TableB10!$D38,[2]totaldisc_DO_less_DI!$A:$B,2,0)&lt;0,VLOOKUP(TableB10!$D38,[2]totaldisc_DO_less_DI!$A:$B,2,0),0),0)</f>
        <v>20.3</v>
      </c>
    </row>
    <row r="39" spans="1:20" ht="14.25" customHeight="1" x14ac:dyDescent="0.35">
      <c r="D39" s="1" t="str">
        <f>+VLOOKUP(E39,[7]Sheet1!$A$1:$C$65536,3,0)</f>
        <v>ESP</v>
      </c>
      <c r="E39" s="205" t="s">
        <v>61</v>
      </c>
      <c r="F39" s="6">
        <f>+'[2]OECD.Stat export'!N41</f>
        <v>32175.081159745001</v>
      </c>
      <c r="G39" s="7">
        <f>+IFERROR(IFERROR(VLOOKUP(D39,[2]IMF_fdi_credit_debitinc!$A:$C,3,0),VLOOKUP(E39,[2]IMF_fdi_credit_debitinc!$A:$C,3,0)),0)/1000000</f>
        <v>27321.4</v>
      </c>
      <c r="H39" s="7">
        <f>+VLOOKUP(D39,[2]OECD_COUNTERDO_INCOME!A:B,2,0)</f>
        <v>24967.314999999999</v>
      </c>
      <c r="I39" s="7">
        <f>+VLOOKUP(E39,'[2]CBC- IRS'!A:L,6,0)/1000</f>
        <v>5175.7560119999998</v>
      </c>
      <c r="J39" s="7">
        <f t="shared" si="2"/>
        <v>7207.7661597450024</v>
      </c>
      <c r="K39" s="8"/>
      <c r="L39" s="7"/>
      <c r="M39" s="7"/>
      <c r="N39" s="7"/>
      <c r="O39" s="7"/>
      <c r="P39" s="6">
        <f>+'[2]OECD.Stat export'!O41</f>
        <v>42329.564535990001</v>
      </c>
      <c r="Q39" s="7">
        <f>+IFERROR(IFERROR(VLOOKUP(D39,[2]IMF_fdi_credit_debitinc!$A:$C,2,0),VLOOKUP(O39,[2]IMF_fdi_credit_debitinc!$A:$C,2,0)),0)/1000000</f>
        <v>37318.9</v>
      </c>
      <c r="R39" s="7">
        <f>+IFERROR(VLOOKUP(D39,[2]OECD_COUNTERDI_INCOME!A:B,2,0),0)</f>
        <v>10247.888000000001</v>
      </c>
      <c r="S39" s="7">
        <f t="shared" si="1"/>
        <v>32081.676535990002</v>
      </c>
      <c r="T39" s="206">
        <f>+-IFERROR(IF(VLOOKUP(TableB10!$D39,[2]totaldisc_DO_less_DI!$A:$B,2,0)&lt;0,VLOOKUP(TableB10!$D39,[2]totaldisc_DO_less_DI!$A:$B,2,0),0),0)</f>
        <v>0</v>
      </c>
    </row>
    <row r="40" spans="1:20" ht="14.25" customHeight="1" x14ac:dyDescent="0.35">
      <c r="D40" s="1" t="str">
        <f>+VLOOKUP(E40,[7]Sheet1!$A$1:$C$65536,3,0)</f>
        <v>SWE</v>
      </c>
      <c r="E40" s="205" t="s">
        <v>62</v>
      </c>
      <c r="F40" s="6">
        <f>+'[2]OECD.Stat export'!N42</f>
        <v>23558.307511711999</v>
      </c>
      <c r="G40" s="7">
        <f>+IFERROR(IFERROR(VLOOKUP(D40,[2]IMF_fdi_credit_debitinc!$A:$C,3,0),VLOOKUP(E40,[2]IMF_fdi_credit_debitinc!$A:$C,3,0)),0)/1000000</f>
        <v>23021.5</v>
      </c>
      <c r="H40" s="7">
        <f>+VLOOKUP(D40,[2]OECD_COUNTERDO_INCOME!A:B,2,0)</f>
        <v>18838.214</v>
      </c>
      <c r="I40" s="7">
        <f>+VLOOKUP(E40,'[2]CBC- IRS'!A:L,6,0)/1000</f>
        <v>5216.209957</v>
      </c>
      <c r="J40" s="7">
        <f t="shared" si="2"/>
        <v>4720.0935117119989</v>
      </c>
      <c r="K40" s="8"/>
      <c r="L40" s="7"/>
      <c r="M40" s="7"/>
      <c r="N40" s="7"/>
      <c r="O40" s="7"/>
      <c r="P40" s="6">
        <f>+'[2]OECD.Stat export'!O42</f>
        <v>34513.478357428001</v>
      </c>
      <c r="Q40" s="7">
        <f>+IFERROR(IFERROR(VLOOKUP(D40,[2]IMF_fdi_credit_debitinc!$A:$C,2,0),VLOOKUP(O40,[2]IMF_fdi_credit_debitinc!$A:$C,2,0)),0)/1000000</f>
        <v>31927.7</v>
      </c>
      <c r="R40" s="7">
        <f>+IFERROR(VLOOKUP(D40,[2]OECD_COUNTERDI_INCOME!A:B,2,0),0)</f>
        <v>20786.671999999999</v>
      </c>
      <c r="S40" s="7">
        <f t="shared" si="1"/>
        <v>13726.806357428002</v>
      </c>
      <c r="T40" s="206">
        <f>+-IFERROR(IF(VLOOKUP(TableB10!$D40,[2]totaldisc_DO_less_DI!$A:$B,2,0)&lt;0,VLOOKUP(TableB10!$D40,[2]totaldisc_DO_less_DI!$A:$B,2,0),0),0)</f>
        <v>0</v>
      </c>
    </row>
    <row r="41" spans="1:20" ht="14.25" customHeight="1" x14ac:dyDescent="0.35">
      <c r="D41" s="1" t="str">
        <f>+VLOOKUP(E41,[7]Sheet1!$A$1:$C$65536,3,0)</f>
        <v>CHE</v>
      </c>
      <c r="E41" s="205" t="s">
        <v>63</v>
      </c>
      <c r="F41" s="6">
        <f>+'[2]OECD.Stat export'!N43</f>
        <v>109623.79556812</v>
      </c>
      <c r="G41" s="7">
        <f>+IFERROR(IFERROR(VLOOKUP(D41,[2]IMF_fdi_credit_debitinc!$A:$C,3,0),VLOOKUP(E41,[2]IMF_fdi_credit_debitinc!$A:$C,3,0)),0)/1000000</f>
        <v>69644.3</v>
      </c>
      <c r="H41" s="7">
        <f>+VLOOKUP(D41,[2]OECD_COUNTERDO_INCOME!A:B,2,0)</f>
        <v>85764.168999999994</v>
      </c>
      <c r="I41" s="7">
        <f>+VLOOKUP(E41,'[2]CBC- IRS'!A:L,6,0)/1000</f>
        <v>60226.786239000001</v>
      </c>
      <c r="J41" s="7">
        <f t="shared" si="2"/>
        <v>23859.626568120002</v>
      </c>
      <c r="K41" s="8"/>
      <c r="L41" s="7"/>
      <c r="M41" s="7"/>
      <c r="N41" s="7"/>
      <c r="O41" s="7"/>
      <c r="P41" s="6">
        <f>+'[2]OECD.Stat export'!O43</f>
        <v>105855.53190461</v>
      </c>
      <c r="Q41" s="7">
        <f>+IFERROR(IFERROR(VLOOKUP(D41,[2]IMF_fdi_credit_debitinc!$A:$C,2,0),VLOOKUP(O41,[2]IMF_fdi_credit_debitinc!$A:$C,2,0)),0)/1000000</f>
        <v>99232.5</v>
      </c>
      <c r="R41" s="7">
        <f>+IFERROR(VLOOKUP(D41,[2]OECD_COUNTERDI_INCOME!A:B,2,0),0)</f>
        <v>71121.652000000002</v>
      </c>
      <c r="S41" s="7">
        <f t="shared" si="1"/>
        <v>34733.879904610003</v>
      </c>
      <c r="T41" s="206">
        <f>+-IFERROR(IF(VLOOKUP(TableB10!$D41,[2]totaldisc_DO_less_DI!$A:$B,2,0)&lt;0,VLOOKUP(TableB10!$D41,[2]totaldisc_DO_less_DI!$A:$B,2,0),0),0)</f>
        <v>0</v>
      </c>
    </row>
    <row r="42" spans="1:20" ht="14.25" customHeight="1" x14ac:dyDescent="0.35">
      <c r="D42" s="1" t="str">
        <f>+VLOOKUP(E42,[7]Sheet1!$A$1:$C$65536,3,0)</f>
        <v>TUR</v>
      </c>
      <c r="E42" s="205" t="s">
        <v>64</v>
      </c>
      <c r="F42" s="6">
        <f>+'[2]OECD.Stat export'!N44</f>
        <v>3470.8</v>
      </c>
      <c r="G42" s="7">
        <f>+IFERROR(IFERROR(VLOOKUP(D42,[2]IMF_fdi_credit_debitinc!$A:$C,3,0),VLOOKUP(E42,[2]IMF_fdi_credit_debitinc!$A:$C,3,0)),0)/1000000</f>
        <v>3247</v>
      </c>
      <c r="H42" s="7">
        <f>+VLOOKUP(D42,[2]OECD_COUNTERDO_INCOME!A:B,2,0)</f>
        <v>5384.549</v>
      </c>
      <c r="I42" s="7">
        <f>+VLOOKUP(E42,'[2]CBC- IRS'!A:L,6,0)/1000</f>
        <v>1332.310647</v>
      </c>
      <c r="J42" s="7">
        <f t="shared" si="2"/>
        <v>-1913.7489999999998</v>
      </c>
      <c r="K42" s="8"/>
      <c r="L42" s="7"/>
      <c r="M42" s="7"/>
      <c r="N42" s="7"/>
      <c r="O42" s="7"/>
      <c r="P42" s="6">
        <f>+'[2]OECD.Stat export'!O44</f>
        <v>813.95</v>
      </c>
      <c r="Q42" s="7">
        <f>+IFERROR(IFERROR(VLOOKUP(D42,[2]IMF_fdi_credit_debitinc!$A:$C,2,0),VLOOKUP(O42,[2]IMF_fdi_credit_debitinc!$A:$C,2,0)),0)/1000000</f>
        <v>823</v>
      </c>
      <c r="R42" s="7">
        <f>+IFERROR(VLOOKUP(D42,[2]OECD_COUNTERDI_INCOME!A:B,2,0),0)</f>
        <v>172.57</v>
      </c>
      <c r="S42" s="7">
        <f t="shared" si="1"/>
        <v>641.38000000000011</v>
      </c>
      <c r="T42" s="206">
        <f>+-IFERROR(IF(VLOOKUP(TableB10!$D42,[2]totaldisc_DO_less_DI!$A:$B,2,0)&lt;0,VLOOKUP(TableB10!$D42,[2]totaldisc_DO_less_DI!$A:$B,2,0),0),0)</f>
        <v>0</v>
      </c>
    </row>
    <row r="43" spans="1:20" ht="14.25" customHeight="1" x14ac:dyDescent="0.35">
      <c r="D43" s="1" t="str">
        <f>+VLOOKUP(E43,[7]Sheet1!$A$1:$C$65536,3,0)</f>
        <v>GBR</v>
      </c>
      <c r="E43" s="205" t="s">
        <v>65</v>
      </c>
      <c r="F43" s="6">
        <f>+'[2]OECD.Stat export'!N45</f>
        <v>55925.216947421999</v>
      </c>
      <c r="G43" s="7">
        <f>+IFERROR(IFERROR(VLOOKUP(D43,[2]IMF_fdi_credit_debitinc!$A:$C,3,0),VLOOKUP(E43,[2]IMF_fdi_credit_debitinc!$A:$C,3,0)),0)/1000000</f>
        <v>83413.399999999994</v>
      </c>
      <c r="H43" s="7">
        <f>+VLOOKUP(D43,[2]OECD_COUNTERDO_INCOME!A:B,2,0)</f>
        <v>140379.68100000001</v>
      </c>
      <c r="I43" s="7">
        <f>+VLOOKUP(E43,'[2]CBC- IRS'!A:L,6,0)/1000</f>
        <v>33.168883000000001</v>
      </c>
      <c r="J43" s="7">
        <f t="shared" si="2"/>
        <v>-84454.464052578012</v>
      </c>
      <c r="K43" s="8"/>
      <c r="L43" s="7"/>
      <c r="M43" s="7"/>
      <c r="N43" s="7"/>
      <c r="O43" s="7"/>
      <c r="P43" s="6">
        <f>+'[2]OECD.Stat export'!O45</f>
        <v>117344.30832056999</v>
      </c>
      <c r="Q43" s="7">
        <f>+IFERROR(IFERROR(VLOOKUP(D43,[2]IMF_fdi_credit_debitinc!$A:$C,2,0),VLOOKUP(O43,[2]IMF_fdi_credit_debitinc!$A:$C,2,0)),0)/1000000</f>
        <v>121172</v>
      </c>
      <c r="R43" s="7">
        <f>+IFERROR(VLOOKUP(D43,[2]OECD_COUNTERDI_INCOME!A:B,2,0),0)</f>
        <v>80390.956999999995</v>
      </c>
      <c r="S43" s="7">
        <f t="shared" si="1"/>
        <v>36953.35132057</v>
      </c>
      <c r="T43" s="206">
        <f>+-IFERROR(IF(VLOOKUP(TableB10!$D43,[2]totaldisc_DO_less_DI!$A:$B,2,0)&lt;0,VLOOKUP(TableB10!$D43,[2]totaldisc_DO_less_DI!$A:$B,2,0),0),0)</f>
        <v>15845.5</v>
      </c>
    </row>
    <row r="44" spans="1:20" ht="14.25" customHeight="1" x14ac:dyDescent="0.35">
      <c r="D44" s="1" t="str">
        <f>+VLOOKUP(E44,[7]Sheet1!$A$1:$C$65536,3,0)</f>
        <v>USA</v>
      </c>
      <c r="E44" s="205" t="s">
        <v>66</v>
      </c>
      <c r="F44" s="6">
        <f>+'[2]OECD.Stat export'!N46</f>
        <v>210804</v>
      </c>
      <c r="G44" s="7">
        <f>+IFERROR(IFERROR(VLOOKUP(D44,[2]IMF_fdi_credit_debitinc!$A:$C,3,0),VLOOKUP(E44,[2]IMF_fdi_credit_debitinc!$A:$C,3,0)),0)/1000000</f>
        <v>245769</v>
      </c>
      <c r="H44" s="7">
        <f>+VLOOKUP(D44,[2]OECD_COUNTERDO_INCOME!A:B,2,0)</f>
        <v>164080.459</v>
      </c>
      <c r="I44" s="7"/>
      <c r="J44" s="7">
        <f t="shared" si="2"/>
        <v>46723.540999999997</v>
      </c>
      <c r="K44" s="8"/>
      <c r="L44" s="7"/>
      <c r="M44" s="7"/>
      <c r="N44" s="7"/>
      <c r="O44" s="7"/>
      <c r="P44" s="6">
        <f>+'[2]OECD.Stat export'!O46</f>
        <v>563643</v>
      </c>
      <c r="Q44" s="7">
        <f>+IFERROR(IFERROR(VLOOKUP(D44,[2]IMF_fdi_credit_debitinc!$A:$C,2,0),VLOOKUP(O44,[2]IMF_fdi_credit_debitinc!$A:$C,2,0)),0)/1000000</f>
        <v>579987</v>
      </c>
      <c r="R44" s="7">
        <f>+IFERROR(VLOOKUP(D44,[2]OECD_COUNTERDI_INCOME!A:B,2,0),0)</f>
        <v>140250.91899999999</v>
      </c>
      <c r="S44" s="7">
        <f t="shared" si="1"/>
        <v>423392.08100000001</v>
      </c>
      <c r="T44" s="206">
        <f>+-IFERROR(IF(VLOOKUP(TableB10!$D44,[2]totaldisc_DO_less_DI!$A:$B,2,0)&lt;0,VLOOKUP(TableB10!$D44,[2]totaldisc_DO_less_DI!$A:$B,2,0),0),0)</f>
        <v>0</v>
      </c>
    </row>
    <row r="45" spans="1:20" ht="40" customHeight="1" x14ac:dyDescent="0.35">
      <c r="E45" s="207" t="s">
        <v>67</v>
      </c>
      <c r="F45" s="10">
        <f>SUM(F46:F52)</f>
        <v>309213.19375670678</v>
      </c>
      <c r="G45" s="11">
        <f t="shared" ref="G45:T45" si="3">SUM(G46:G52)</f>
        <v>165859.68000000002</v>
      </c>
      <c r="H45" s="11">
        <f t="shared" si="3"/>
        <v>117839.32099999998</v>
      </c>
      <c r="I45" s="7"/>
      <c r="J45" s="11">
        <f t="shared" si="3"/>
        <v>191373.87275670673</v>
      </c>
      <c r="K45" s="12">
        <f t="shared" si="3"/>
        <v>0</v>
      </c>
      <c r="L45" s="11"/>
      <c r="M45" s="11"/>
      <c r="N45" s="11">
        <f t="shared" si="3"/>
        <v>0</v>
      </c>
      <c r="O45" s="11">
        <f t="shared" si="3"/>
        <v>0</v>
      </c>
      <c r="P45" s="10">
        <f t="shared" si="3"/>
        <v>162795.60137596252</v>
      </c>
      <c r="Q45" s="11">
        <f t="shared" si="3"/>
        <v>66960.570999999996</v>
      </c>
      <c r="R45" s="11">
        <f t="shared" si="3"/>
        <v>5245.0289999999995</v>
      </c>
      <c r="S45" s="11">
        <f t="shared" si="3"/>
        <v>157550.57237596251</v>
      </c>
      <c r="T45" s="208">
        <f t="shared" si="3"/>
        <v>0</v>
      </c>
    </row>
    <row r="46" spans="1:20" ht="14.25" customHeight="1" x14ac:dyDescent="0.35">
      <c r="D46" s="1" t="str">
        <f>+VLOOKUP(E46,[7]Sheet1!$A$1:$C$65536,3,0)</f>
        <v>BRA</v>
      </c>
      <c r="E46" s="205" t="s">
        <v>68</v>
      </c>
      <c r="F46" s="6">
        <f>+'[2]OECD.Stat export'!N47</f>
        <v>54051</v>
      </c>
      <c r="G46" s="7">
        <f>+VLOOKUP(E46,[2]IMF_fdi_credit_debitinc!$A$1:$C$201,3,0)/1000000</f>
        <v>53114.2</v>
      </c>
      <c r="H46" s="7">
        <f>+VLOOKUP(D46,[2]OECD_COUNTERDO_INCOME!A:B,2,0)</f>
        <v>19053.111000000001</v>
      </c>
      <c r="I46" s="7">
        <f>+VLOOKUP(E46,'[2]CBC- IRS'!A:L,6,0)/1000</f>
        <v>6981.4025609999999</v>
      </c>
      <c r="J46" s="7">
        <f t="shared" ref="J46:J52" si="4">+F46-H46</f>
        <v>34997.888999999996</v>
      </c>
      <c r="K46" s="8"/>
      <c r="L46" s="7"/>
      <c r="M46" s="7"/>
      <c r="N46" s="7"/>
      <c r="O46" s="7"/>
      <c r="P46" s="6">
        <f>+'[2]OECD.Stat export'!O47</f>
        <v>16071</v>
      </c>
      <c r="Q46" s="7">
        <f>+IFERROR(IFERROR(VLOOKUP(D46,[2]IMF_fdi_credit_debitinc!$A:$C,2,0),VLOOKUP(O46,[2]IMF_fdi_credit_debitinc!$A:$C,2,0)),0)/1000000</f>
        <v>17075.8</v>
      </c>
      <c r="R46" s="7">
        <f>+IFERROR(VLOOKUP(D46,[2]OECD_COUNTERDI_INCOME!A:B,2,0),0)</f>
        <v>-1444.972</v>
      </c>
      <c r="S46" s="7">
        <f t="shared" ref="S46:S52" si="5">+P46-R46</f>
        <v>17515.972000000002</v>
      </c>
      <c r="T46" s="206"/>
    </row>
    <row r="47" spans="1:20" ht="14.25" customHeight="1" x14ac:dyDescent="0.35">
      <c r="A47" s="1" t="s">
        <v>69</v>
      </c>
      <c r="B47" s="1" t="str">
        <f>+'[8]DIA Eurostat'!A196</f>
        <v>China except Hong Kong</v>
      </c>
      <c r="D47" s="1" t="s">
        <v>319</v>
      </c>
      <c r="E47" s="205" t="s">
        <v>70</v>
      </c>
      <c r="F47" s="6">
        <f>-[8]ChinaBoP!$AK$62*100*0.5</f>
        <v>142416.71375670677</v>
      </c>
      <c r="G47" s="7">
        <f>+IFERROR(IFERROR(VLOOKUP(D47,[2]IMF_fdi_credit_debitinc!$A:$C,3,0),VLOOKUP(E47,[2]IMF_fdi_credit_debitinc!$A:$C,3,0)),0)/1000000</f>
        <v>0</v>
      </c>
      <c r="H47" s="7">
        <f>+VLOOKUP(D47,[2]OECD_COUNTERDO_INCOME!A:B,2,0)</f>
        <v>62324.23</v>
      </c>
      <c r="I47" s="7">
        <f>+VLOOKUP(E47,'[2]CBC- IRS'!A:L,6,0)/1000</f>
        <v>28160.570201000002</v>
      </c>
      <c r="J47" s="7">
        <f t="shared" si="4"/>
        <v>80092.483756706759</v>
      </c>
      <c r="K47" s="8"/>
      <c r="L47" s="7"/>
      <c r="M47" s="7"/>
      <c r="N47" s="7"/>
      <c r="O47" s="7"/>
      <c r="P47" s="6">
        <f>[8]ChinaBoP!$AK$61*100*0.5</f>
        <v>117459.9819611625</v>
      </c>
      <c r="Q47" s="7">
        <f>+IFERROR(IFERROR(VLOOKUP(D47,[2]IMF_fdi_credit_debitinc!$A:$C,2,0),VLOOKUP(O47,[2]IMF_fdi_credit_debitinc!$A:$C,2,0)),0)/1000000</f>
        <v>0</v>
      </c>
      <c r="R47" s="7">
        <f>+IFERROR(VLOOKUP(D47,[2]OECD_COUNTERDI_INCOME!A:B,2,0),0)</f>
        <v>4885.5709999999999</v>
      </c>
      <c r="S47" s="7">
        <f t="shared" si="5"/>
        <v>112574.4109611625</v>
      </c>
      <c r="T47" s="209"/>
    </row>
    <row r="48" spans="1:20" ht="14.25" customHeight="1" x14ac:dyDescent="0.35">
      <c r="D48" s="1" t="str">
        <f>+VLOOKUP(E48,[7]Sheet1!$A$1:$C$65536,3,0)</f>
        <v>COL</v>
      </c>
      <c r="E48" s="205" t="s">
        <v>71</v>
      </c>
      <c r="F48" s="6">
        <f>+G48</f>
        <v>9784.44</v>
      </c>
      <c r="G48" s="7">
        <f>+VLOOKUP(E48,[2]IMF_fdi_credit_debitinc!$A$1:$C$201,3,0)/1000000</f>
        <v>9784.44</v>
      </c>
      <c r="H48" s="7">
        <f>+VLOOKUP(D48,[2]OECD_COUNTERDO_INCOME!A:B,2,0)</f>
        <v>1914.761</v>
      </c>
      <c r="I48" s="7">
        <f>+VLOOKUP(E48,'[2]CBC- IRS'!A:L,6,0)/1000</f>
        <v>1604.8433889999999</v>
      </c>
      <c r="J48" s="7">
        <f t="shared" si="4"/>
        <v>7869.6790000000001</v>
      </c>
      <c r="K48" s="8"/>
      <c r="L48" s="7"/>
      <c r="M48" s="7"/>
      <c r="N48" s="7"/>
      <c r="O48" s="7"/>
      <c r="P48" s="6">
        <f>+(VLOOKUP(E48, '[8]IMF balance of payment all'!$A:$P,8,0)+VLOOKUP(E48,'[8]IMF balance of payment all'!$A:$P,5,0))/1000000</f>
        <v>3561.5806026999999</v>
      </c>
      <c r="Q48" s="7">
        <f>+IFERROR(IFERROR(VLOOKUP(D48,[2]IMF_fdi_credit_debitinc!$A:$C,2,0),VLOOKUP(O48,[2]IMF_fdi_credit_debitinc!$A:$C,2,0)),0)/1000000</f>
        <v>4514.78</v>
      </c>
      <c r="R48" s="7">
        <f>+IFERROR(VLOOKUP(D48,[2]OECD_COUNTERDI_INCOME!A:B,2,0),0)</f>
        <v>45.655999999999999</v>
      </c>
      <c r="S48" s="7">
        <f t="shared" si="5"/>
        <v>3515.9246026999999</v>
      </c>
      <c r="T48" s="206"/>
    </row>
    <row r="49" spans="1:22" ht="14.25" customHeight="1" x14ac:dyDescent="0.35">
      <c r="D49" s="1" t="str">
        <f>+VLOOKUP(E49,[7]Sheet1!$A$1:$C$65536,3,0)</f>
        <v>CRI</v>
      </c>
      <c r="E49" s="205" t="s">
        <v>72</v>
      </c>
      <c r="F49" s="6">
        <f>+G49</f>
        <v>3023.94</v>
      </c>
      <c r="G49" s="7">
        <f>+VLOOKUP(E49,[2]IMF_fdi_credit_debitinc!$A$1:$C$201,3,0)/1000000</f>
        <v>3023.94</v>
      </c>
      <c r="H49" s="7">
        <f>+VLOOKUP(D49,[2]OECD_COUNTERDO_INCOME!A:B,2,0)</f>
        <v>401.80900000000003</v>
      </c>
      <c r="I49" s="7">
        <f>+VLOOKUP(E49,'[2]CBC- IRS'!A:L,6,0)/1000</f>
        <v>1632.920498</v>
      </c>
      <c r="J49" s="7">
        <f t="shared" si="4"/>
        <v>2622.1309999999999</v>
      </c>
      <c r="K49" s="8"/>
      <c r="L49" s="7"/>
      <c r="M49" s="7"/>
      <c r="N49" s="7"/>
      <c r="O49" s="7"/>
      <c r="P49" s="6">
        <f>+(VLOOKUP(E49, '[8]IMF balance of payment all'!$A:$P,8,0)+VLOOKUP(E49,'[8]IMF balance of payment all'!$A:$P,5,0))/1000000</f>
        <v>74.886040299999991</v>
      </c>
      <c r="Q49" s="7">
        <f>+IFERROR(IFERROR(VLOOKUP(D49,[2]IMF_fdi_credit_debitinc!$A:$C,2,0),VLOOKUP(O49,[2]IMF_fdi_credit_debitinc!$A:$C,2,0)),0)/1000000</f>
        <v>135.161</v>
      </c>
      <c r="R49" s="7">
        <f>+IFERROR(VLOOKUP(D49,[2]OECD_COUNTERDI_INCOME!A:B,2,0),0)</f>
        <v>139.80000000000001</v>
      </c>
      <c r="S49" s="7">
        <f t="shared" si="5"/>
        <v>-64.913959700000021</v>
      </c>
      <c r="T49" s="206"/>
    </row>
    <row r="50" spans="1:22" ht="14.25" customHeight="1" x14ac:dyDescent="0.35">
      <c r="D50" s="1" t="str">
        <f>+VLOOKUP(E50,[7]Sheet1!$A$1:$C$65536,3,0)</f>
        <v>IND</v>
      </c>
      <c r="E50" s="205" t="s">
        <v>73</v>
      </c>
      <c r="F50" s="6">
        <f>+G50</f>
        <v>22314</v>
      </c>
      <c r="G50" s="7">
        <f>+VLOOKUP(E50,[2]IMF_fdi_credit_debitinc!$A$1:$C$201,3,0)/1000000</f>
        <v>22314</v>
      </c>
      <c r="H50" s="7">
        <f>+VLOOKUP(D50,[2]OECD_COUNTERDO_INCOME!A:B,2,0)</f>
        <v>11777.518</v>
      </c>
      <c r="I50" s="7">
        <f>+VLOOKUP(E50,'[2]CBC- IRS'!A:L,6,0)/1000</f>
        <v>9378.6135950000007</v>
      </c>
      <c r="J50" s="7">
        <f t="shared" si="4"/>
        <v>10536.482</v>
      </c>
      <c r="K50" s="8"/>
      <c r="L50" s="7"/>
      <c r="M50" s="7"/>
      <c r="N50" s="7"/>
      <c r="O50" s="7"/>
      <c r="P50" s="6">
        <f>+(VLOOKUP(E50, '[8]IMF balance of payment all'!$A:$P,8,0)+VLOOKUP(E50,'[8]IMF balance of payment all'!$A:$P,5,0))/1000000</f>
        <v>5018.5436815000003</v>
      </c>
      <c r="Q50" s="7">
        <f>+IFERROR(IFERROR(VLOOKUP(D50,[2]IMF_fdi_credit_debitinc!$A:$C,2,0),VLOOKUP(O50,[2]IMF_fdi_credit_debitinc!$A:$C,2,0)),0)/1000000</f>
        <v>6151.2</v>
      </c>
      <c r="R50" s="7">
        <f>+IFERROR(VLOOKUP(D50,[2]OECD_COUNTERDI_INCOME!A:B,2,0),0)</f>
        <v>-307.30200000000002</v>
      </c>
      <c r="S50" s="7">
        <f t="shared" si="5"/>
        <v>5325.8456815</v>
      </c>
      <c r="T50" s="206"/>
    </row>
    <row r="51" spans="1:22" ht="14.25" customHeight="1" x14ac:dyDescent="0.35">
      <c r="B51" s="1" t="s">
        <v>74</v>
      </c>
      <c r="D51" s="1" t="str">
        <f>+VLOOKUP(E51,[7]Sheet1!$A$1:$C$65536,3,0)</f>
        <v>RUS</v>
      </c>
      <c r="E51" s="210" t="s">
        <v>75</v>
      </c>
      <c r="F51" s="6">
        <f>+G51</f>
        <v>71008</v>
      </c>
      <c r="G51" s="7">
        <f>+VLOOKUP(E51,[2]IMF_fdi_credit_debitinc!$A$1:$C$201,3,0)/1000000</f>
        <v>71008</v>
      </c>
      <c r="H51" s="7">
        <f>+VLOOKUP(D51,[2]OECD_COUNTERDO_INCOME!A:B,2,0)</f>
        <v>19393.347000000002</v>
      </c>
      <c r="I51" s="7"/>
      <c r="J51" s="7">
        <f t="shared" si="4"/>
        <v>51614.652999999998</v>
      </c>
      <c r="K51" s="8"/>
      <c r="L51" s="7"/>
      <c r="M51" s="7"/>
      <c r="N51" s="7"/>
      <c r="O51" s="7"/>
      <c r="P51" s="6">
        <f>+(VLOOKUP(E51, '[8]IMF balance of payment all'!$A:$P,8,0)+VLOOKUP(E51,'[8]IMF balance of payment all'!$A:$P,5,0))/1000000</f>
        <v>17282.830000000002</v>
      </c>
      <c r="Q51" s="7">
        <f>+IFERROR(IFERROR(VLOOKUP(D51,[2]IMF_fdi_credit_debitinc!$A:$C,2,0),VLOOKUP(O51,[2]IMF_fdi_credit_debitinc!$A:$C,2,0)),0)/1000000</f>
        <v>35506</v>
      </c>
      <c r="R51" s="7">
        <f>+IFERROR(VLOOKUP(D51,[2]OECD_COUNTERDI_INCOME!A:B,2,0),0)</f>
        <v>1288.309</v>
      </c>
      <c r="S51" s="7">
        <f t="shared" si="5"/>
        <v>15994.521000000002</v>
      </c>
      <c r="T51" s="206"/>
    </row>
    <row r="52" spans="1:22" ht="14.25" customHeight="1" x14ac:dyDescent="0.35">
      <c r="D52" s="1" t="str">
        <f>+VLOOKUP(E52,[7]Sheet1!$A$1:$C$65536,3,0)</f>
        <v>ZAF</v>
      </c>
      <c r="E52" s="205" t="s">
        <v>76</v>
      </c>
      <c r="F52" s="6">
        <f>+G52</f>
        <v>6615.1</v>
      </c>
      <c r="G52" s="7">
        <f>+VLOOKUP(E52,[2]IMF_fdi_credit_debitinc!$A$1:$C$201,3,0)/1000000</f>
        <v>6615.1</v>
      </c>
      <c r="H52" s="7">
        <f>+VLOOKUP(D52,[2]OECD_COUNTERDO_INCOME!A:B,2,0)</f>
        <v>2974.5450000000001</v>
      </c>
      <c r="I52" s="7">
        <f>+VLOOKUP(E52,'[2]CBC- IRS'!A:L,6,0)/1000</f>
        <v>2127.7755010000001</v>
      </c>
      <c r="J52" s="7">
        <f t="shared" si="4"/>
        <v>3640.5550000000003</v>
      </c>
      <c r="K52" s="8"/>
      <c r="L52" s="7"/>
      <c r="M52" s="7"/>
      <c r="N52" s="7"/>
      <c r="O52" s="7"/>
      <c r="P52" s="6">
        <f>+(VLOOKUP(E52, '[8]IMF balance of payment all'!$A:$P,8,0)+VLOOKUP(E52,'[8]IMF balance of payment all'!$A:$P,5,0))/1000000</f>
        <v>3326.7790902999996</v>
      </c>
      <c r="Q52" s="7">
        <f>+IFERROR(IFERROR(VLOOKUP(D52,[2]IMF_fdi_credit_debitinc!$A:$C,2,0),VLOOKUP(O52,[2]IMF_fdi_credit_debitinc!$A:$C,2,0)),0)/1000000</f>
        <v>3577.63</v>
      </c>
      <c r="R52" s="7">
        <f>+IFERROR(VLOOKUP(D52,[2]OECD_COUNTERDI_INCOME!A:B,2,0),0)</f>
        <v>637.96699999999998</v>
      </c>
      <c r="S52" s="7">
        <f t="shared" si="5"/>
        <v>2688.8120902999995</v>
      </c>
      <c r="T52" s="206"/>
    </row>
    <row r="53" spans="1:22" ht="40" customHeight="1" x14ac:dyDescent="0.35">
      <c r="E53" s="75" t="s">
        <v>77</v>
      </c>
      <c r="F53" s="10">
        <f>SUM(F54:F89)</f>
        <v>320697.39686289203</v>
      </c>
      <c r="G53" s="11">
        <f t="shared" ref="G53:T53" si="6">SUM(G54:G89)</f>
        <v>178025.0469740855</v>
      </c>
      <c r="H53" s="11">
        <f t="shared" si="6"/>
        <v>220567.26899999997</v>
      </c>
      <c r="I53" s="7"/>
      <c r="J53" s="11">
        <f t="shared" si="6"/>
        <v>100130.12786289201</v>
      </c>
      <c r="K53" s="12">
        <f t="shared" si="6"/>
        <v>177998.33891985647</v>
      </c>
      <c r="L53" s="11"/>
      <c r="M53" s="11"/>
      <c r="N53" s="11">
        <f t="shared" si="6"/>
        <v>44346.683670168517</v>
      </c>
      <c r="O53" s="11">
        <f t="shared" si="6"/>
        <v>160532</v>
      </c>
      <c r="P53" s="10">
        <f t="shared" si="6"/>
        <v>128962.0263476</v>
      </c>
      <c r="Q53" s="11">
        <f>SUM(Q54:Q89)</f>
        <v>147096.88042979248</v>
      </c>
      <c r="R53" s="11">
        <f t="shared" si="6"/>
        <v>76954.009000000005</v>
      </c>
      <c r="S53" s="11">
        <f t="shared" si="6"/>
        <v>52008.017347599991</v>
      </c>
      <c r="T53" s="211">
        <f t="shared" si="6"/>
        <v>64714.134497800005</v>
      </c>
      <c r="V53" s="70" t="s">
        <v>355</v>
      </c>
    </row>
    <row r="54" spans="1:22" ht="14.25" customHeight="1" x14ac:dyDescent="0.35">
      <c r="D54" s="1" t="s">
        <v>302</v>
      </c>
      <c r="E54" s="205" t="s">
        <v>78</v>
      </c>
      <c r="F54" s="6">
        <f t="shared" ref="F54:F78" si="7">+G54</f>
        <v>0</v>
      </c>
      <c r="G54" s="7">
        <f>+IFERROR(IFERROR(VLOOKUP(D54,[2]IMF_fdi_credit_debitinc!$A:$C,3,0),VLOOKUP(E54,[2]IMF_fdi_credit_debitinc!$A:$C,3,0)),0)/1000000</f>
        <v>0</v>
      </c>
      <c r="H54" s="7">
        <f>+IFERROR(VLOOKUP(D54,[2]OECD_COUNTERDO_INCOME!A:B,2,0),0)</f>
        <v>17.916</v>
      </c>
      <c r="I54" s="7"/>
      <c r="J54" s="7">
        <f t="shared" ref="J54:J78" si="8">+F54-H54</f>
        <v>-17.916</v>
      </c>
      <c r="K54" s="8">
        <f t="shared" ref="K54:K64" si="9">IFERROR(IF(I54&gt;F54-J54,I54,IF(F54&lt;H54,-J54,0)),IF(F54&lt;H54,-J54,0))</f>
        <v>17.916</v>
      </c>
      <c r="L54" s="7"/>
      <c r="M54" s="7"/>
      <c r="N54" s="7"/>
      <c r="O54" s="7">
        <f>$K$227*(K54+G54)/(SUM($K$54:$K$88,$G$54:$G$88)-$G$64-$K$64-$G$66-$K$66-$G$84-$K$84-$G$87-$K$87)</f>
        <v>8.9610734175294144</v>
      </c>
      <c r="P54" s="6">
        <v>0</v>
      </c>
      <c r="Q54" s="7">
        <f>+IFERROR(IFERROR(VLOOKUP(D54,[2]IMF_fdi_credit_debitinc!$A:$C,2,0),VLOOKUP(O54,[2]IMF_fdi_credit_debitinc!$A:$C,2,0)),0)/1000000</f>
        <v>0</v>
      </c>
      <c r="R54" s="7">
        <f>+IFERROR(VLOOKUP(D54,[2]OECD_COUNTERDI_INCOME!A:B,2,0),0)</f>
        <v>14.688000000000001</v>
      </c>
      <c r="S54" s="7">
        <f t="shared" ref="S54:S78" si="10">+P54-R54</f>
        <v>-14.688000000000001</v>
      </c>
      <c r="T54" s="206">
        <f t="shared" ref="T54:T78" si="11">IF(P54&lt;R54,-S54,0)</f>
        <v>14.688000000000001</v>
      </c>
      <c r="V54" s="69">
        <f>+F54+K54-P54-T54+N54</f>
        <v>3.2279999999999998</v>
      </c>
    </row>
    <row r="55" spans="1:22" ht="14.25" customHeight="1" x14ac:dyDescent="0.35">
      <c r="B55" s="1" t="str">
        <f>+'[8]DIA Eurostat'!A143</f>
        <v>Anguilla (UK)</v>
      </c>
      <c r="D55" s="1" t="str">
        <f>+IFERROR(IFERROR(VLOOKUP(A55,[7]Sheet1!$A$1:$C$65536,3,0),VLOOKUP(E55,[7]Sheet1!$A$1:$C$65536,3,0)),VLOOKUP(B55,[7]Sheet1!$A$1:$C$65536,3,0))</f>
        <v>AIA</v>
      </c>
      <c r="E55" s="205" t="s">
        <v>79</v>
      </c>
      <c r="F55" s="6">
        <f t="shared" si="7"/>
        <v>0</v>
      </c>
      <c r="G55" s="7">
        <f>+IFERROR(IFERROR(VLOOKUP(D55,[2]IMF_fdi_credit_debitinc!$A:$C,3,0),VLOOKUP(E55,[2]IMF_fdi_credit_debitinc!$A:$C,3,0)),0)/1000000</f>
        <v>0</v>
      </c>
      <c r="H55" s="7">
        <f>+IFERROR(VLOOKUP(D55,[2]OECD_COUNTERDO_INCOME!A:B,2,0),0)</f>
        <v>-7.4870000000000001</v>
      </c>
      <c r="I55" s="7" t="e">
        <f>+VLOOKUP(E55,'[2]CBC- IRS'!A:L,6,0)/1000000</f>
        <v>#N/A</v>
      </c>
      <c r="J55" s="7">
        <f t="shared" si="8"/>
        <v>7.4870000000000001</v>
      </c>
      <c r="K55" s="8">
        <f t="shared" si="9"/>
        <v>0</v>
      </c>
      <c r="L55" s="7"/>
      <c r="M55" s="7"/>
      <c r="N55" s="7"/>
      <c r="O55" s="7">
        <f t="shared" ref="O55:O88" si="12">$K$227*(K55+G55)/(SUM($K$54:$K$88,$G$54:$G$88)-$G$64-$K$64-$G$66-$K$66-$G$84-$K$84-$G$87-$K$87)</f>
        <v>0</v>
      </c>
      <c r="P55" s="6">
        <f>+(VLOOKUP(E55, '[8]IMF balance of payment all'!$A:$P,8,0)+VLOOKUP(E55,'[8]IMF balance of payment all'!$A:$P,5,0))/1000000</f>
        <v>0</v>
      </c>
      <c r="Q55" s="7">
        <f>+IFERROR(IFERROR(VLOOKUP(D55,[2]IMF_fdi_credit_debitinc!$A:$C,2,0),VLOOKUP(O55,[2]IMF_fdi_credit_debitinc!$A:$C,2,0)),0)/1000000</f>
        <v>0</v>
      </c>
      <c r="R55" s="7">
        <f>+IFERROR(VLOOKUP(D55,[2]OECD_COUNTERDI_INCOME!A:B,2,0),0)</f>
        <v>1.778</v>
      </c>
      <c r="S55" s="7">
        <f t="shared" si="10"/>
        <v>-1.778</v>
      </c>
      <c r="T55" s="206">
        <f t="shared" si="11"/>
        <v>1.778</v>
      </c>
      <c r="V55" s="69">
        <f t="shared" ref="V55:V90" si="13">+F55+K55-P55-T55+N55</f>
        <v>-1.778</v>
      </c>
    </row>
    <row r="56" spans="1:22" ht="14.25" customHeight="1" x14ac:dyDescent="0.35">
      <c r="D56" s="1" t="str">
        <f>+IFERROR(IFERROR(VLOOKUP(A56,[7]Sheet1!$A$1:$C$65536,3,0),VLOOKUP(E56,[7]Sheet1!$A$1:$C$65536,3,0)),VLOOKUP(B56,[7]Sheet1!$A$1:$C$65536,3,0))</f>
        <v>ATG</v>
      </c>
      <c r="E56" s="205" t="s">
        <v>80</v>
      </c>
      <c r="F56" s="6">
        <f t="shared" si="7"/>
        <v>0</v>
      </c>
      <c r="G56" s="7">
        <f>+IFERROR(IFERROR(VLOOKUP(D56,[2]IMF_fdi_credit_debitinc!$A:$C,3,0),VLOOKUP(E56,[2]IMF_fdi_credit_debitinc!$A:$C,3,0)),0)/1000000</f>
        <v>0</v>
      </c>
      <c r="H56" s="7">
        <f>+IFERROR(VLOOKUP(D56,[2]OECD_COUNTERDO_INCOME!A:B,2,0),0)</f>
        <v>-4.6390000000000002</v>
      </c>
      <c r="I56" s="7" t="e">
        <f>+VLOOKUP(E56,'[2]CBC- IRS'!A:L,6,0)/1000000</f>
        <v>#N/A</v>
      </c>
      <c r="J56" s="7">
        <f>+F56-H56</f>
        <v>4.6390000000000002</v>
      </c>
      <c r="K56" s="8">
        <f t="shared" si="9"/>
        <v>0</v>
      </c>
      <c r="L56" s="7"/>
      <c r="M56" s="7"/>
      <c r="N56" s="7"/>
      <c r="O56" s="7">
        <f t="shared" si="12"/>
        <v>0</v>
      </c>
      <c r="P56" s="6">
        <f>+(VLOOKUP(E56, '[8]IMF balance of payment all'!$A:$P,8,0)+VLOOKUP(E56,'[8]IMF balance of payment all'!$A:$P,5,0))/1000000</f>
        <v>0</v>
      </c>
      <c r="Q56" s="7">
        <f>+IFERROR(IFERROR(VLOOKUP(D56,[2]IMF_fdi_credit_debitinc!$A:$C,2,0),VLOOKUP(O56,[2]IMF_fdi_credit_debitinc!$A:$C,2,0)),0)/1000000</f>
        <v>0</v>
      </c>
      <c r="R56" s="7">
        <f>+IFERROR(VLOOKUP(D56,[2]OECD_COUNTERDI_INCOME!A:B,2,0),0)</f>
        <v>0</v>
      </c>
      <c r="S56" s="7">
        <f t="shared" si="10"/>
        <v>0</v>
      </c>
      <c r="T56" s="206">
        <f t="shared" si="11"/>
        <v>0</v>
      </c>
      <c r="V56" s="69">
        <f t="shared" si="13"/>
        <v>0</v>
      </c>
    </row>
    <row r="57" spans="1:22" ht="14.25" customHeight="1" x14ac:dyDescent="0.35">
      <c r="B57" s="1" t="str">
        <f>+'[8]DIA Eurostat'!A145</f>
        <v>Aruba (NL)</v>
      </c>
      <c r="D57" s="1" t="str">
        <f>+IFERROR(IFERROR(VLOOKUP(A57,[7]Sheet1!$A$1:$C$65536,3,0),VLOOKUP(E57,[7]Sheet1!$A$1:$C$65536,3,0)),VLOOKUP(B57,[7]Sheet1!$A$1:$C$65536,3,0))</f>
        <v>ABW</v>
      </c>
      <c r="E57" s="205" t="s">
        <v>81</v>
      </c>
      <c r="F57" s="6">
        <f t="shared" si="7"/>
        <v>0</v>
      </c>
      <c r="G57" s="7">
        <f>+IFERROR(IFERROR(VLOOKUP(D57,[2]IMF_fdi_credit_debitinc!$A:$C,3,0),VLOOKUP(E57,[2]IMF_fdi_credit_debitinc!$A:$C,3,0)),0)/1000000</f>
        <v>0</v>
      </c>
      <c r="H57" s="7">
        <f>+IFERROR(VLOOKUP(D57,[2]OECD_COUNTERDO_INCOME!A:B,2,0),0)</f>
        <v>29.091000000000001</v>
      </c>
      <c r="I57" s="7">
        <f>+VLOOKUP(E57,'[2]CBC- IRS'!A:L,6,0)/1000</f>
        <v>41.199244</v>
      </c>
      <c r="J57" s="7">
        <f t="shared" si="8"/>
        <v>-29.091000000000001</v>
      </c>
      <c r="K57" s="8">
        <f t="shared" si="9"/>
        <v>41.199244</v>
      </c>
      <c r="L57" s="7"/>
      <c r="M57" s="7"/>
      <c r="N57" s="7"/>
      <c r="O57" s="7">
        <f t="shared" si="12"/>
        <v>20.606689564116333</v>
      </c>
      <c r="P57" s="6">
        <f>+(VLOOKUP(E57, '[8]IMF balance of payment all'!$A:$P,8,0)+VLOOKUP(E57,'[8]IMF balance of payment all'!$A:$P,5,0))/1000000</f>
        <v>0</v>
      </c>
      <c r="Q57" s="7">
        <f>+IFERROR(IFERROR(VLOOKUP(D57,[2]IMF_fdi_credit_debitinc!$A:$C,2,0),VLOOKUP(O57,[2]IMF_fdi_credit_debitinc!$A:$C,2,0)),0)/1000000</f>
        <v>0</v>
      </c>
      <c r="R57" s="7">
        <f>+IFERROR(VLOOKUP(D57,[2]OECD_COUNTERDI_INCOME!A:B,2,0),0)</f>
        <v>186.947</v>
      </c>
      <c r="S57" s="7">
        <f t="shared" si="10"/>
        <v>-186.947</v>
      </c>
      <c r="T57" s="206">
        <f t="shared" si="11"/>
        <v>186.947</v>
      </c>
      <c r="V57" s="69">
        <f t="shared" si="13"/>
        <v>-145.74775600000001</v>
      </c>
    </row>
    <row r="58" spans="1:22" ht="14.25" customHeight="1" x14ac:dyDescent="0.35">
      <c r="B58" s="1" t="s">
        <v>82</v>
      </c>
      <c r="D58" s="1" t="str">
        <f>+IFERROR(IFERROR(VLOOKUP(A58,[7]Sheet1!$A$1:$C$65536,3,0),VLOOKUP(E58,[7]Sheet1!$A$1:$C$65536,3,0)),VLOOKUP(B58,[7]Sheet1!$A$1:$C$65536,3,0))</f>
        <v>BHS</v>
      </c>
      <c r="E58" s="205" t="s">
        <v>83</v>
      </c>
      <c r="F58" s="6">
        <f t="shared" si="7"/>
        <v>0</v>
      </c>
      <c r="G58" s="7">
        <f>+IFERROR(IFERROR(VLOOKUP(D58,[2]IMF_fdi_credit_debitinc!$A:$C,3,0),VLOOKUP(E58,[2]IMF_fdi_credit_debitinc!$A:$C,3,0)),0)/1000000</f>
        <v>0</v>
      </c>
      <c r="H58" s="7">
        <f>+IFERROR(VLOOKUP(D58,[2]OECD_COUNTERDO_INCOME!A:B,2,0),0)</f>
        <v>3508.62</v>
      </c>
      <c r="I58" s="7">
        <f>+VLOOKUP(E58,'[2]CBC- IRS'!A:L,6,0)/1000</f>
        <v>11052.548706</v>
      </c>
      <c r="J58" s="7">
        <f t="shared" si="8"/>
        <v>-3508.62</v>
      </c>
      <c r="K58" s="8">
        <f t="shared" si="9"/>
        <v>11052.548706</v>
      </c>
      <c r="L58" s="7"/>
      <c r="M58" s="7"/>
      <c r="N58" s="7"/>
      <c r="O58" s="7">
        <f t="shared" si="12"/>
        <v>5528.1703731461112</v>
      </c>
      <c r="P58" s="6">
        <v>0</v>
      </c>
      <c r="Q58" s="7">
        <f>+IFERROR(IFERROR(VLOOKUP(D58,[2]IMF_fdi_credit_debitinc!$A:$C,2,0),VLOOKUP(O58,[2]IMF_fdi_credit_debitinc!$A:$C,2,0)),0)/1000000</f>
        <v>0</v>
      </c>
      <c r="R58" s="7">
        <f>+IFERROR(VLOOKUP(D58,[2]OECD_COUNTERDI_INCOME!A:B,2,0),0)</f>
        <v>2027.415</v>
      </c>
      <c r="S58" s="7">
        <f t="shared" si="10"/>
        <v>-2027.415</v>
      </c>
      <c r="T58" s="206">
        <f t="shared" si="11"/>
        <v>2027.415</v>
      </c>
      <c r="V58" s="69">
        <f t="shared" si="13"/>
        <v>9025.1337060000005</v>
      </c>
    </row>
    <row r="59" spans="1:22" ht="14.25" customHeight="1" x14ac:dyDescent="0.35">
      <c r="B59" s="1" t="s">
        <v>84</v>
      </c>
      <c r="D59" s="1" t="str">
        <f>+IFERROR(IFERROR(VLOOKUP(A59,[7]Sheet1!$A$1:$C$65536,3,0),VLOOKUP(E59,[7]Sheet1!$A$1:$C$65536,3,0)),VLOOKUP(B59,[7]Sheet1!$A$1:$C$65536,3,0))</f>
        <v>BHR</v>
      </c>
      <c r="E59" s="205" t="s">
        <v>85</v>
      </c>
      <c r="F59" s="6">
        <f t="shared" si="7"/>
        <v>0</v>
      </c>
      <c r="G59" s="7">
        <f>+IFERROR(IFERROR(VLOOKUP(D59,[2]IMF_fdi_credit_debitinc!$A:$C,3,0),VLOOKUP(E59,[2]IMF_fdi_credit_debitinc!$A:$C,3,0)),0)/1000000</f>
        <v>0</v>
      </c>
      <c r="H59" s="7">
        <f>+IFERROR(VLOOKUP(D59,[2]OECD_COUNTERDO_INCOME!A:B,2,0),0)</f>
        <v>595.44899999999996</v>
      </c>
      <c r="I59" s="7">
        <f>+VLOOKUP(E59,'[2]CBC- IRS'!A:L,6,0)/1000</f>
        <v>218.338649</v>
      </c>
      <c r="J59" s="7">
        <f t="shared" si="8"/>
        <v>-595.44899999999996</v>
      </c>
      <c r="K59" s="8">
        <f t="shared" si="9"/>
        <v>595.44899999999996</v>
      </c>
      <c r="L59" s="7"/>
      <c r="M59" s="7"/>
      <c r="N59" s="7"/>
      <c r="O59" s="7">
        <f t="shared" si="12"/>
        <v>297.82664687399375</v>
      </c>
      <c r="P59" s="6">
        <v>0</v>
      </c>
      <c r="Q59" s="7">
        <f>+IFERROR(IFERROR(VLOOKUP(D59,[2]IMF_fdi_credit_debitinc!$A:$C,2,0),VLOOKUP(O59,[2]IMF_fdi_credit_debitinc!$A:$C,2,0)),0)/1000000</f>
        <v>0</v>
      </c>
      <c r="R59" s="7">
        <f>+IFERROR(VLOOKUP(D59,[2]OECD_COUNTERDI_INCOME!A:B,2,0),0)</f>
        <v>69.143000000000001</v>
      </c>
      <c r="S59" s="7">
        <f t="shared" si="10"/>
        <v>-69.143000000000001</v>
      </c>
      <c r="T59" s="206">
        <f t="shared" si="11"/>
        <v>69.143000000000001</v>
      </c>
      <c r="V59" s="69">
        <f t="shared" si="13"/>
        <v>526.30599999999993</v>
      </c>
    </row>
    <row r="60" spans="1:22" ht="14.25" customHeight="1" x14ac:dyDescent="0.35">
      <c r="D60" s="1" t="str">
        <f>+IFERROR(IFERROR(VLOOKUP(A60,[7]Sheet1!$A$1:$C$65536,3,0),VLOOKUP(E60,[7]Sheet1!$A$1:$C$65536,3,0)),VLOOKUP(B60,[7]Sheet1!$A$1:$C$65536,3,0))</f>
        <v>BRB</v>
      </c>
      <c r="E60" s="205" t="s">
        <v>86</v>
      </c>
      <c r="F60" s="6">
        <f t="shared" si="7"/>
        <v>0</v>
      </c>
      <c r="G60" s="7">
        <f>+IFERROR(IFERROR(VLOOKUP(D60,[2]IMF_fdi_credit_debitinc!$A:$C,3,0),VLOOKUP(E60,[2]IMF_fdi_credit_debitinc!$A:$C,3,0)),0)/1000000</f>
        <v>0</v>
      </c>
      <c r="H60" s="7">
        <f>+IFERROR(VLOOKUP(D60,[2]OECD_COUNTERDO_INCOME!A:B,2,0),0)</f>
        <v>5383.8789999999999</v>
      </c>
      <c r="I60" s="7">
        <f>+VLOOKUP(E60,'[2]CBC- IRS'!A:L,6,0)/1000</f>
        <v>8816.9192119999989</v>
      </c>
      <c r="J60" s="7">
        <f t="shared" si="8"/>
        <v>-5383.8789999999999</v>
      </c>
      <c r="K60" s="8">
        <f t="shared" si="9"/>
        <v>8816.9192119999989</v>
      </c>
      <c r="L60" s="7"/>
      <c r="M60" s="7"/>
      <c r="N60" s="7"/>
      <c r="O60" s="7">
        <f t="shared" si="12"/>
        <v>4409.9721129246245</v>
      </c>
      <c r="P60" s="6">
        <f>+(VLOOKUP(E60, '[8]IMF balance of payment all'!$A:$P,8,0)+VLOOKUP(E60,'[8]IMF balance of payment all'!$A:$P,5,0))/1000000</f>
        <v>0</v>
      </c>
      <c r="Q60" s="7">
        <f>+IFERROR(IFERROR(VLOOKUP(D60,[2]IMF_fdi_credit_debitinc!$A:$C,2,0),VLOOKUP(O60,[2]IMF_fdi_credit_debitinc!$A:$C,2,0)),0)/1000000</f>
        <v>0</v>
      </c>
      <c r="R60" s="7">
        <f>+IFERROR(VLOOKUP(D60,[2]OECD_COUNTERDI_INCOME!A:B,2,0),0)</f>
        <v>3821.9450000000002</v>
      </c>
      <c r="S60" s="7">
        <f t="shared" si="10"/>
        <v>-3821.9450000000002</v>
      </c>
      <c r="T60" s="206">
        <f t="shared" si="11"/>
        <v>3821.9450000000002</v>
      </c>
      <c r="V60" s="69">
        <f t="shared" si="13"/>
        <v>4994.9742119999992</v>
      </c>
    </row>
    <row r="61" spans="1:22" ht="14.25" customHeight="1" x14ac:dyDescent="0.35">
      <c r="D61" s="1" t="str">
        <f>+IFERROR(IFERROR(VLOOKUP(A61,[7]Sheet1!$A$1:$C$65536,3,0),VLOOKUP(E61,[7]Sheet1!$A$1:$C$65536,3,0)),VLOOKUP(B61,[7]Sheet1!$A$1:$C$65536,3,0))</f>
        <v>BLZ</v>
      </c>
      <c r="E61" s="205" t="s">
        <v>87</v>
      </c>
      <c r="F61" s="6">
        <f t="shared" si="7"/>
        <v>0</v>
      </c>
      <c r="G61" s="7">
        <f>+IFERROR(IFERROR(VLOOKUP(D61,[2]IMF_fdi_credit_debitinc!$A:$C,3,0),VLOOKUP(E61,[2]IMF_fdi_credit_debitinc!$A:$C,3,0)),0)/1000000</f>
        <v>0</v>
      </c>
      <c r="H61" s="7">
        <f>+IFERROR(VLOOKUP(D61,[2]OECD_COUNTERDO_INCOME!A:B,2,0),0)</f>
        <v>12.599</v>
      </c>
      <c r="I61" s="7" t="e">
        <f>+VLOOKUP(E61,'[2]CBC- IRS'!A:L,6,0)/1000000</f>
        <v>#N/A</v>
      </c>
      <c r="J61" s="7">
        <f t="shared" si="8"/>
        <v>-12.599</v>
      </c>
      <c r="K61" s="8">
        <f t="shared" si="9"/>
        <v>12.599</v>
      </c>
      <c r="L61" s="7"/>
      <c r="M61" s="7"/>
      <c r="N61" s="7"/>
      <c r="O61" s="7">
        <f t="shared" si="12"/>
        <v>6.3016613076274339</v>
      </c>
      <c r="P61" s="6">
        <f>+(VLOOKUP(E61, '[8]IMF balance of payment all'!$A:$P,8,0)+VLOOKUP(E61,'[8]IMF balance of payment all'!$A:$P,5,0))/1000000</f>
        <v>1.2105223000000001</v>
      </c>
      <c r="Q61" s="7">
        <f>+IFERROR(IFERROR(VLOOKUP(D61,[2]IMF_fdi_credit_debitinc!$A:$C,2,0),VLOOKUP(O61,[2]IMF_fdi_credit_debitinc!$A:$C,2,0)),0)/1000000</f>
        <v>0</v>
      </c>
      <c r="R61" s="7">
        <f>+IFERROR(VLOOKUP(D61,[2]OECD_COUNTERDI_INCOME!A:B,2,0),0)</f>
        <v>-2.556</v>
      </c>
      <c r="S61" s="7">
        <f t="shared" si="10"/>
        <v>3.7665223000000001</v>
      </c>
      <c r="T61" s="206">
        <f t="shared" si="11"/>
        <v>0</v>
      </c>
      <c r="V61" s="69">
        <f t="shared" si="13"/>
        <v>11.388477699999999</v>
      </c>
    </row>
    <row r="62" spans="1:22" ht="14.25" customHeight="1" x14ac:dyDescent="0.35">
      <c r="B62" s="1" t="str">
        <f>+'[8]DIA Eurostat'!A139</f>
        <v>Bermuda (UK)</v>
      </c>
      <c r="D62" s="1" t="str">
        <f>+IFERROR(IFERROR(VLOOKUP(A62,[7]Sheet1!$A$1:$C$65536,3,0),VLOOKUP(E62,[7]Sheet1!$A$1:$C$65536,3,0)),VLOOKUP(B62,[7]Sheet1!$A$1:$C$65536,3,0))</f>
        <v>BMU</v>
      </c>
      <c r="E62" s="205" t="s">
        <v>88</v>
      </c>
      <c r="F62" s="6">
        <f t="shared" si="7"/>
        <v>0</v>
      </c>
      <c r="G62" s="7">
        <f>+IFERROR(IFERROR(VLOOKUP(D62,[2]IMF_fdi_credit_debitinc!$A:$C,3,0),VLOOKUP(E62,[2]IMF_fdi_credit_debitinc!$A:$C,3,0)),0)/1000000</f>
        <v>0</v>
      </c>
      <c r="H62" s="7">
        <f>+IFERROR(VLOOKUP(D62,[2]OECD_COUNTERDO_INCOME!A:B,2,0),0)</f>
        <v>50354.847999999998</v>
      </c>
      <c r="I62" s="7">
        <f>+VLOOKUP(E62,'[2]CBC- IRS'!A:L,6,0)/1000</f>
        <v>30707.616746</v>
      </c>
      <c r="J62" s="7">
        <f t="shared" si="8"/>
        <v>-50354.847999999998</v>
      </c>
      <c r="K62" s="8">
        <f t="shared" si="9"/>
        <v>50354.847999999998</v>
      </c>
      <c r="L62" s="7"/>
      <c r="M62" s="7"/>
      <c r="N62" s="7"/>
      <c r="O62" s="7">
        <f t="shared" si="12"/>
        <v>25186.062171050133</v>
      </c>
      <c r="P62" s="6">
        <f>+(VLOOKUP(E62, '[8]IMF balance of payment all'!$A:$P,8,0)+VLOOKUP(E62,'[8]IMF balance of payment all'!$A:$P,5,0))/1000000</f>
        <v>108.3720849</v>
      </c>
      <c r="Q62" s="7">
        <f>+IFERROR(IFERROR(VLOOKUP(D62,[2]IMF_fdi_credit_debitinc!$A:$C,2,0),VLOOKUP(O62,[2]IMF_fdi_credit_debitinc!$A:$C,2,0)),0)/1000000</f>
        <v>0</v>
      </c>
      <c r="R62" s="7">
        <f>+IFERROR(VLOOKUP(D62,[2]OECD_COUNTERDI_INCOME!A:B,2,0),0)</f>
        <v>17175.102999999999</v>
      </c>
      <c r="S62" s="7">
        <f t="shared" si="10"/>
        <v>-17066.730915100001</v>
      </c>
      <c r="T62" s="206">
        <f t="shared" si="11"/>
        <v>17066.730915100001</v>
      </c>
      <c r="V62" s="69">
        <f t="shared" si="13"/>
        <v>33179.744999999995</v>
      </c>
    </row>
    <row r="63" spans="1:22" ht="14.25" customHeight="1" x14ac:dyDescent="0.35">
      <c r="A63" s="1" t="str">
        <f>+'[8]DIA Eurostat'!A148</f>
        <v>Bonaire, Saint Eustatius and Saba</v>
      </c>
      <c r="B63" s="1" t="s">
        <v>89</v>
      </c>
      <c r="D63" s="1" t="s">
        <v>303</v>
      </c>
      <c r="E63" s="205" t="s">
        <v>90</v>
      </c>
      <c r="F63" s="6">
        <f t="shared" si="7"/>
        <v>0</v>
      </c>
      <c r="G63" s="7">
        <f>+IFERROR(IFERROR(VLOOKUP(D63,[2]IMF_fdi_credit_debitinc!$A:$C,3,0),VLOOKUP(E63,[2]IMF_fdi_credit_debitinc!$A:$C,3,0)),0)/1000000</f>
        <v>0</v>
      </c>
      <c r="H63" s="7">
        <f>+IFERROR(VLOOKUP(D63,[2]OECD_COUNTERDO_INCOME!A:B,2,0),0)</f>
        <v>-4</v>
      </c>
      <c r="I63" s="7" t="e">
        <f>+VLOOKUP(E63,'[2]CBC- IRS'!A:L,6,0)/1000000</f>
        <v>#N/A</v>
      </c>
      <c r="J63" s="7">
        <f t="shared" si="8"/>
        <v>4</v>
      </c>
      <c r="K63" s="8">
        <f t="shared" si="9"/>
        <v>0</v>
      </c>
      <c r="L63" s="7"/>
      <c r="M63" s="7"/>
      <c r="N63" s="7"/>
      <c r="O63" s="7">
        <f t="shared" si="12"/>
        <v>0</v>
      </c>
      <c r="P63" s="6">
        <v>0</v>
      </c>
      <c r="Q63" s="7">
        <f>+IFERROR(IFERROR(VLOOKUP(D63,[2]IMF_fdi_credit_debitinc!$A:$C,2,0),VLOOKUP(O63,[2]IMF_fdi_credit_debitinc!$A:$C,2,0)),0)/1000000</f>
        <v>0</v>
      </c>
      <c r="R63" s="7">
        <f>+IFERROR(VLOOKUP(D63,[2]OECD_COUNTERDI_INCOME!A:B,2,0),0)</f>
        <v>1.861</v>
      </c>
      <c r="S63" s="7">
        <f t="shared" si="10"/>
        <v>-1.861</v>
      </c>
      <c r="T63" s="206">
        <f t="shared" si="11"/>
        <v>1.861</v>
      </c>
      <c r="V63" s="69">
        <f t="shared" si="13"/>
        <v>-1.861</v>
      </c>
    </row>
    <row r="64" spans="1:22" ht="14.25" customHeight="1" x14ac:dyDescent="0.35">
      <c r="A64" s="1" t="str">
        <f>+'[8]DIA Eurostat'!A149</f>
        <v>British Virgin Islands (UK)</v>
      </c>
      <c r="B64" s="1" t="s">
        <v>91</v>
      </c>
      <c r="D64" s="1" t="e">
        <f>+IFERROR(IFERROR(VLOOKUP(A64,[7]Sheet1!$A$1:$C$65536,3,0),VLOOKUP(E64,[7]Sheet1!$A$1:$C$65536,3,0)),VLOOKUP(B64,[7]Sheet1!$A$1:$C$65536,3,0))</f>
        <v>#N/A</v>
      </c>
      <c r="E64" s="205" t="s">
        <v>92</v>
      </c>
      <c r="F64" s="6">
        <f t="shared" si="7"/>
        <v>0</v>
      </c>
      <c r="G64" s="7">
        <f>+IFERROR(IFERROR(VLOOKUP(D64,[2]IMF_fdi_credit_debitinc!$A:$C,3,0),VLOOKUP(E64,[2]IMF_fdi_credit_debitinc!$A:$C,3,0)),0)/1000000</f>
        <v>0</v>
      </c>
      <c r="H64" s="7">
        <f>+IFERROR(VLOOKUP(D64,[2]OECD_COUNTERDO_INCOME!A:B,2,0),0)</f>
        <v>0</v>
      </c>
      <c r="I64" s="7">
        <f>+VLOOKUP(E64,'[2]CBC- IRS'!A:L,6,0)/1000000</f>
        <v>3.235679942</v>
      </c>
      <c r="J64" s="7">
        <f t="shared" si="8"/>
        <v>0</v>
      </c>
      <c r="K64" s="8">
        <f t="shared" si="9"/>
        <v>3.235679942</v>
      </c>
      <c r="L64" s="7"/>
      <c r="M64" s="7"/>
      <c r="N64" s="7">
        <v>31375.949560756722</v>
      </c>
      <c r="O64" s="7"/>
      <c r="P64" s="6">
        <v>0</v>
      </c>
      <c r="Q64" s="7">
        <f>+IFERROR(IFERROR(VLOOKUP(D64,[2]IMF_fdi_credit_debitinc!$A:$C,2,0),VLOOKUP(O64,[2]IMF_fdi_credit_debitinc!$A:$C,2,0)),0)/1000000</f>
        <v>0</v>
      </c>
      <c r="R64" s="7">
        <f>+IFERROR(VLOOKUP(D64,[2]OECD_COUNTERDI_INCOME!A:B,2,0),0)</f>
        <v>0</v>
      </c>
      <c r="S64" s="7">
        <f t="shared" si="10"/>
        <v>0</v>
      </c>
      <c r="T64" s="206">
        <f t="shared" si="11"/>
        <v>0</v>
      </c>
      <c r="V64" s="69">
        <f t="shared" si="13"/>
        <v>31379.185240698724</v>
      </c>
    </row>
    <row r="65" spans="1:22" ht="14.25" customHeight="1" x14ac:dyDescent="0.35">
      <c r="A65" s="1" t="str">
        <f>'[8]DIA Eurostat'!A150</f>
        <v>Cayman Islands (UK)</v>
      </c>
      <c r="B65" s="1" t="str">
        <f>'[8]Outward, All'!A140</f>
        <v>Cayman Isl</v>
      </c>
      <c r="D65" s="1" t="s">
        <v>304</v>
      </c>
      <c r="E65" s="205" t="s">
        <v>93</v>
      </c>
      <c r="F65" s="6">
        <f t="shared" si="7"/>
        <v>0</v>
      </c>
      <c r="G65" s="7">
        <f>+IFERROR(IFERROR(VLOOKUP(D65,[2]IMF_fdi_credit_debitinc!$A:$C,3,0),VLOOKUP(E65,[2]IMF_fdi_credit_debitinc!$A:$C,3,0)),0)/1000000</f>
        <v>0</v>
      </c>
      <c r="H65" s="7">
        <f>+IFERROR(VLOOKUP(D65,[2]OECD_COUNTERDO_INCOME!A:B,2,0),0)</f>
        <v>42361.661999999997</v>
      </c>
      <c r="I65" s="7">
        <f>+VLOOKUP(E65,'[2]CBC- IRS'!A:L,6,0)/1000</f>
        <v>60369.016011</v>
      </c>
      <c r="J65" s="7">
        <f t="shared" si="8"/>
        <v>-42361.661999999997</v>
      </c>
      <c r="K65" s="8">
        <f>IFERROR(IF(I65&gt;F65-J65,I65,IF(F65&lt;H65,-J65,0)),IF(F65&lt;H65,-J65,0))</f>
        <v>60369.016011</v>
      </c>
      <c r="L65" s="7"/>
      <c r="M65" s="7"/>
      <c r="N65" s="7"/>
      <c r="O65" s="7">
        <f t="shared" si="12"/>
        <v>30194.864066676695</v>
      </c>
      <c r="P65" s="6">
        <v>0</v>
      </c>
      <c r="Q65" s="7">
        <f>+IFERROR(IFERROR(VLOOKUP(D65,[2]IMF_fdi_credit_debitinc!$A:$C,2,0),VLOOKUP(O65,[2]IMF_fdi_credit_debitinc!$A:$C,2,0)),0)/1000000</f>
        <v>0</v>
      </c>
      <c r="R65" s="7">
        <f>+IFERROR(VLOOKUP(D65,[2]OECD_COUNTERDI_INCOME!A:B,2,0),0)</f>
        <v>14991.924999999999</v>
      </c>
      <c r="S65" s="7">
        <f t="shared" si="10"/>
        <v>-14991.924999999999</v>
      </c>
      <c r="T65" s="206">
        <f t="shared" si="11"/>
        <v>14991.924999999999</v>
      </c>
      <c r="V65" s="69">
        <f t="shared" si="13"/>
        <v>45377.091010999997</v>
      </c>
    </row>
    <row r="66" spans="1:22" ht="14.25" customHeight="1" x14ac:dyDescent="0.35">
      <c r="B66" s="1" t="s">
        <v>94</v>
      </c>
      <c r="D66" s="1" t="s">
        <v>305</v>
      </c>
      <c r="E66" s="205" t="s">
        <v>95</v>
      </c>
      <c r="F66" s="6">
        <f t="shared" si="7"/>
        <v>0</v>
      </c>
      <c r="G66" s="7">
        <f>+IFERROR(IFERROR(VLOOKUP(D66,[2]IMF_fdi_credit_debitinc!$A:$C,3,0),VLOOKUP(E66,[2]IMF_fdi_credit_debitinc!$A:$C,3,0)),0)/1000000</f>
        <v>0</v>
      </c>
      <c r="H66" s="7">
        <f>+IFERROR(VLOOKUP(D66,[2]OECD_COUNTERDO_INCOME!A:B,2,0),0)</f>
        <v>416.779</v>
      </c>
      <c r="I66" s="7">
        <f>+VLOOKUP(E66,'[2]CBC- IRS'!A:L,6,0)/1000</f>
        <v>1644.301342</v>
      </c>
      <c r="J66" s="7">
        <f t="shared" si="8"/>
        <v>-416.779</v>
      </c>
      <c r="K66" s="8">
        <f t="shared" ref="K66:K89" si="14">IFERROR(IF(I66&gt;F66-J66,I66,IF(F66&lt;H66,-J66,0)),IF(F66&lt;H66,-J66,0))</f>
        <v>1644.301342</v>
      </c>
      <c r="L66" s="7"/>
      <c r="M66" s="7"/>
      <c r="N66" s="7">
        <v>12939.514734540455</v>
      </c>
      <c r="O66" s="7"/>
      <c r="P66" s="6">
        <f>+(VLOOKUP(E66, '[8]IMF balance of payment all'!$A:$P,8,0)+VLOOKUP(E66,'[8]IMF balance of payment all'!$A:$P,5,0))/1000000</f>
        <v>12.782122900000001</v>
      </c>
      <c r="Q66" s="7">
        <f>+IFERROR(IFERROR(VLOOKUP(D66,[2]IMF_fdi_credit_debitinc!$A:$C,2,0),VLOOKUP(O66,[2]IMF_fdi_credit_debitinc!$A:$C,2,0)),0)/1000000</f>
        <v>0</v>
      </c>
      <c r="R66" s="7">
        <f>+IFERROR(VLOOKUP(D66,[2]OECD_COUNTERDI_INCOME!A:B,2,0),0)</f>
        <v>549.19799999999998</v>
      </c>
      <c r="S66" s="7">
        <f t="shared" si="10"/>
        <v>-536.41587709999999</v>
      </c>
      <c r="T66" s="206">
        <f t="shared" si="11"/>
        <v>536.41587709999999</v>
      </c>
      <c r="V66" s="69">
        <f t="shared" si="13"/>
        <v>14034.618076540455</v>
      </c>
    </row>
    <row r="67" spans="1:22" ht="14.25" customHeight="1" x14ac:dyDescent="0.35">
      <c r="D67" s="1" t="str">
        <f>+IFERROR(IFERROR(VLOOKUP(A67,[7]Sheet1!$A$1:$C$65536,3,0),VLOOKUP(E67,[7]Sheet1!$A$1:$C$65536,3,0)),VLOOKUP(B67,[7]Sheet1!$A$1:$C$65536,3,0))</f>
        <v>CYP</v>
      </c>
      <c r="E67" s="205" t="s">
        <v>96</v>
      </c>
      <c r="F67" s="6">
        <f t="shared" si="7"/>
        <v>9757.65</v>
      </c>
      <c r="G67" s="7">
        <f>+IFERROR(IFERROR(VLOOKUP(D67,[2]IMF_fdi_credit_debitinc!$A:$C,3,0),VLOOKUP(E67,[2]IMF_fdi_credit_debitinc!$A:$C,3,0)),0)/1000000</f>
        <v>9757.65</v>
      </c>
      <c r="H67" s="7">
        <f>+IFERROR(VLOOKUP(D67,[2]OECD_COUNTERDO_INCOME!A:B,2,0),0)</f>
        <v>3803.6480000000001</v>
      </c>
      <c r="I67" s="7">
        <f>+VLOOKUP(E67,'[2]CBC- IRS'!A:L,6,0)/1000</f>
        <v>839.615861</v>
      </c>
      <c r="J67" s="7">
        <f t="shared" si="8"/>
        <v>5954.0019999999995</v>
      </c>
      <c r="K67" s="8">
        <f t="shared" si="14"/>
        <v>0</v>
      </c>
      <c r="L67" s="7"/>
      <c r="M67" s="7"/>
      <c r="N67" s="7"/>
      <c r="O67" s="7">
        <f t="shared" si="12"/>
        <v>4880.4988854965331</v>
      </c>
      <c r="P67" s="6">
        <f>+(VLOOKUP(E67, '[8]IMF balance of payment all'!$A:$P,8,0)+VLOOKUP(E67,'[8]IMF balance of payment all'!$A:$P,5,0))/1000000</f>
        <v>2611.3350037999999</v>
      </c>
      <c r="Q67" s="7">
        <f>+IFERROR(IFERROR(VLOOKUP(D67,[2]IMF_fdi_credit_debitinc!$A:$C,2,0),VLOOKUP(O67,[2]IMF_fdi_credit_debitinc!$A:$C,2,0)),0)/1000000</f>
        <v>9337.68</v>
      </c>
      <c r="R67" s="7">
        <f>+IFERROR(VLOOKUP(D67,[2]OECD_COUNTERDI_INCOME!A:B,2,0),0)</f>
        <v>5281.18</v>
      </c>
      <c r="S67" s="7">
        <f t="shared" si="10"/>
        <v>-2669.8449962000004</v>
      </c>
      <c r="T67" s="206">
        <f t="shared" si="11"/>
        <v>2669.8449962000004</v>
      </c>
      <c r="V67" s="69">
        <f t="shared" si="13"/>
        <v>4476.4699999999993</v>
      </c>
    </row>
    <row r="68" spans="1:22" ht="14.25" customHeight="1" x14ac:dyDescent="0.35">
      <c r="D68" s="1" t="s">
        <v>306</v>
      </c>
      <c r="E68" s="205" t="s">
        <v>97</v>
      </c>
      <c r="F68" s="6">
        <f t="shared" si="7"/>
        <v>0</v>
      </c>
      <c r="G68" s="7">
        <f>+IFERROR(IFERROR(VLOOKUP(D68,[2]IMF_fdi_credit_debitinc!$A:$C,3,0),VLOOKUP(E68,[2]IMF_fdi_credit_debitinc!$A:$C,3,0)),0)/1000000</f>
        <v>0</v>
      </c>
      <c r="H68" s="7">
        <f>+IFERROR(VLOOKUP(D68,[2]OECD_COUNTERDO_INCOME!A:B,2,0),0)</f>
        <v>6546.9769999999999</v>
      </c>
      <c r="I68" s="7">
        <f>+VLOOKUP(E68,'[2]CBC- IRS'!A:L,6,0)/1000</f>
        <v>1974.2739590000001</v>
      </c>
      <c r="J68" s="7">
        <f t="shared" si="8"/>
        <v>-6546.9769999999999</v>
      </c>
      <c r="K68" s="8">
        <f t="shared" si="14"/>
        <v>6546.9769999999999</v>
      </c>
      <c r="L68" s="7"/>
      <c r="M68" s="7"/>
      <c r="N68" s="7"/>
      <c r="O68" s="7">
        <f t="shared" si="12"/>
        <v>3274.6116074947795</v>
      </c>
      <c r="P68" s="6">
        <v>0</v>
      </c>
      <c r="Q68" s="7">
        <f>+IFERROR(IFERROR(VLOOKUP(D68,[2]IMF_fdi_credit_debitinc!$A:$C,2,0),VLOOKUP(O68,[2]IMF_fdi_credit_debitinc!$A:$C,2,0)),0)/1000000</f>
        <v>0</v>
      </c>
      <c r="R68" s="7">
        <f>+IFERROR(VLOOKUP(D68,[2]OECD_COUNTERDI_INCOME!A:B,2,0),0)</f>
        <v>4618.7060000000001</v>
      </c>
      <c r="S68" s="7">
        <f t="shared" si="10"/>
        <v>-4618.7060000000001</v>
      </c>
      <c r="T68" s="206">
        <f t="shared" si="11"/>
        <v>4618.7060000000001</v>
      </c>
      <c r="V68" s="69">
        <f t="shared" si="13"/>
        <v>1928.2709999999997</v>
      </c>
    </row>
    <row r="69" spans="1:22" ht="14.25" customHeight="1" x14ac:dyDescent="0.35">
      <c r="D69" s="1" t="str">
        <f>+IFERROR(IFERROR(VLOOKUP(A69,[7]Sheet1!$A$1:$C$65536,3,0),VLOOKUP(E69,[7]Sheet1!$A$1:$C$65536,3,0)),VLOOKUP(B69,[7]Sheet1!$A$1:$C$65536,3,0))</f>
        <v>GRD</v>
      </c>
      <c r="E69" s="205" t="s">
        <v>98</v>
      </c>
      <c r="F69" s="6">
        <f t="shared" si="7"/>
        <v>0</v>
      </c>
      <c r="G69" s="7">
        <f>+IFERROR(IFERROR(VLOOKUP(D69,[2]IMF_fdi_credit_debitinc!$A:$C,3,0),VLOOKUP(E69,[2]IMF_fdi_credit_debitinc!$A:$C,3,0)),0)/1000000</f>
        <v>0</v>
      </c>
      <c r="H69" s="7">
        <f>+IFERROR(VLOOKUP(D69,[2]OECD_COUNTERDO_INCOME!A:B,2,0),0)</f>
        <v>4</v>
      </c>
      <c r="I69" s="7" t="e">
        <f>+VLOOKUP(E69,'[2]CBC- IRS'!A:L,6,0)/1000000</f>
        <v>#N/A</v>
      </c>
      <c r="J69" s="7">
        <f t="shared" si="8"/>
        <v>-4</v>
      </c>
      <c r="K69" s="8">
        <f t="shared" si="14"/>
        <v>4</v>
      </c>
      <c r="L69" s="7"/>
      <c r="M69" s="7"/>
      <c r="N69" s="7"/>
      <c r="O69" s="7">
        <f t="shared" si="12"/>
        <v>2.0006861838645711</v>
      </c>
      <c r="P69" s="6">
        <v>0</v>
      </c>
      <c r="Q69" s="7">
        <f>+IFERROR(IFERROR(VLOOKUP(D69,[2]IMF_fdi_credit_debitinc!$A:$C,2,0),VLOOKUP(O69,[2]IMF_fdi_credit_debitinc!$A:$C,2,0)),0)/1000000</f>
        <v>0</v>
      </c>
      <c r="R69" s="7">
        <f>+IFERROR(VLOOKUP(D69,[2]OECD_COUNTERDI_INCOME!A:B,2,0),0)</f>
        <v>0</v>
      </c>
      <c r="S69" s="7">
        <f t="shared" si="10"/>
        <v>0</v>
      </c>
      <c r="T69" s="206">
        <f t="shared" si="11"/>
        <v>0</v>
      </c>
      <c r="V69" s="69">
        <f t="shared" si="13"/>
        <v>4</v>
      </c>
    </row>
    <row r="70" spans="1:22" ht="14.25" customHeight="1" x14ac:dyDescent="0.35">
      <c r="D70" s="1" t="s">
        <v>307</v>
      </c>
      <c r="E70" s="205" t="s">
        <v>99</v>
      </c>
      <c r="F70" s="6">
        <f t="shared" si="7"/>
        <v>0</v>
      </c>
      <c r="G70" s="7">
        <f>+IFERROR(IFERROR(VLOOKUP(D70,[2]IMF_fdi_credit_debitinc!$A:$C,3,0),VLOOKUP(E70,[2]IMF_fdi_credit_debitinc!$A:$C,3,0)),0)/1000000</f>
        <v>0</v>
      </c>
      <c r="H70" s="7">
        <f>+IFERROR(VLOOKUP(D70,[2]OECD_COUNTERDO_INCOME!A:B,2,0),0)</f>
        <v>888.45899999999995</v>
      </c>
      <c r="I70" s="7">
        <f>+VLOOKUP(E70,'[2]CBC- IRS'!A:L,6,0)/1000</f>
        <v>62.800385999999996</v>
      </c>
      <c r="J70" s="7">
        <f t="shared" si="8"/>
        <v>-888.45899999999995</v>
      </c>
      <c r="K70" s="8">
        <f t="shared" si="14"/>
        <v>888.45899999999995</v>
      </c>
      <c r="L70" s="7"/>
      <c r="M70" s="7"/>
      <c r="N70" s="7"/>
      <c r="O70" s="7">
        <f t="shared" si="12"/>
        <v>444.38191155753327</v>
      </c>
      <c r="P70" s="6">
        <v>0</v>
      </c>
      <c r="Q70" s="7">
        <f>+IFERROR(IFERROR(VLOOKUP(D70,[2]IMF_fdi_credit_debitinc!$A:$C,2,0),VLOOKUP(O70,[2]IMF_fdi_credit_debitinc!$A:$C,2,0)),0)/1000000</f>
        <v>0</v>
      </c>
      <c r="R70" s="7">
        <f>+IFERROR(VLOOKUP(D70,[2]OECD_COUNTERDI_INCOME!A:B,2,0),0)</f>
        <v>1806.6220000000001</v>
      </c>
      <c r="S70" s="7">
        <f t="shared" si="10"/>
        <v>-1806.6220000000001</v>
      </c>
      <c r="T70" s="206">
        <f t="shared" si="11"/>
        <v>1806.6220000000001</v>
      </c>
      <c r="V70" s="69">
        <f t="shared" si="13"/>
        <v>-918.16300000000012</v>
      </c>
    </row>
    <row r="71" spans="1:22" ht="14.25" customHeight="1" x14ac:dyDescent="0.35">
      <c r="B71" s="1" t="str">
        <f>+'[8]DIA Eurostat'!A60</f>
        <v>Gibraltar (UK)</v>
      </c>
      <c r="D71" s="1" t="s">
        <v>438</v>
      </c>
      <c r="E71" s="205" t="s">
        <v>100</v>
      </c>
      <c r="F71" s="6">
        <f t="shared" si="7"/>
        <v>0</v>
      </c>
      <c r="G71" s="7">
        <f>+IFERROR(IFERROR(VLOOKUP(D71,[2]IMF_fdi_credit_debitinc!$A:$C,3,0),VLOOKUP(E71,[2]IMF_fdi_credit_debitinc!$A:$C,3,0)),0)/1000000</f>
        <v>0</v>
      </c>
      <c r="H71" s="7">
        <f>+IFERROR(VLOOKUP(D71,[2]OECD_COUNTERDO_INCOME!A:B,2,0),0)</f>
        <v>34.305999999999997</v>
      </c>
      <c r="I71" s="7" t="e">
        <f>+VLOOKUP(E71,'[2]CBC- IRS'!A:L,6,0)/1000000</f>
        <v>#N/A</v>
      </c>
      <c r="J71" s="7">
        <f t="shared" si="8"/>
        <v>-34.305999999999997</v>
      </c>
      <c r="K71" s="8">
        <f t="shared" si="14"/>
        <v>34.305999999999997</v>
      </c>
      <c r="L71" s="7"/>
      <c r="M71" s="7"/>
      <c r="N71" s="7"/>
      <c r="O71" s="7">
        <f t="shared" si="12"/>
        <v>17.158885055914492</v>
      </c>
      <c r="P71" s="6">
        <v>0</v>
      </c>
      <c r="Q71" s="7">
        <f>+IFERROR(IFERROR(VLOOKUP(D71,[2]IMF_fdi_credit_debitinc!$A:$C,2,0),VLOOKUP(O71,[2]IMF_fdi_credit_debitinc!$A:$C,2,0)),0)/1000000</f>
        <v>0</v>
      </c>
      <c r="R71" s="7">
        <f>+IFERROR(VLOOKUP(D71,[2]OECD_COUNTERDI_INCOME!A:B,2,0),0)</f>
        <v>4384.2479999999996</v>
      </c>
      <c r="S71" s="7">
        <f t="shared" si="10"/>
        <v>-4384.2479999999996</v>
      </c>
      <c r="T71" s="206">
        <f t="shared" si="11"/>
        <v>4384.2479999999996</v>
      </c>
      <c r="V71" s="69">
        <f t="shared" si="13"/>
        <v>-4349.942</v>
      </c>
    </row>
    <row r="72" spans="1:22" ht="14.25" customHeight="1" x14ac:dyDescent="0.35">
      <c r="A72" s="1" t="str">
        <f>+'[8]DIA Eurostat'!A197</f>
        <v>Hong Kong</v>
      </c>
      <c r="B72" s="1" t="s">
        <v>101</v>
      </c>
      <c r="D72" s="1" t="str">
        <f>+IFERROR(IFERROR(VLOOKUP(A72,[7]Sheet1!$A$1:$C$65536,3,0),VLOOKUP(E72,[7]Sheet1!$A$1:$C$65536,3,0)),VLOOKUP(B72,[7]Sheet1!$A$1:$C$65536,3,0))</f>
        <v>HKG</v>
      </c>
      <c r="E72" s="212" t="s">
        <v>102</v>
      </c>
      <c r="F72" s="6">
        <f t="shared" si="7"/>
        <v>154250</v>
      </c>
      <c r="G72" s="7">
        <f>+IFERROR(IFERROR(VLOOKUP(D72,[2]IMF_fdi_credit_debitinc!$A:$C,3,0),VLOOKUP(E72,[2]IMF_fdi_credit_debitinc!$A:$C,3,0)),0)/1000000</f>
        <v>154250</v>
      </c>
      <c r="H72" s="7">
        <f>+IFERROR(VLOOKUP(D72,[2]OECD_COUNTERDO_INCOME!A:B,2,0),0)</f>
        <v>29261.023000000001</v>
      </c>
      <c r="I72" s="7"/>
      <c r="J72" s="7">
        <f t="shared" si="8"/>
        <v>124988.977</v>
      </c>
      <c r="K72" s="8">
        <f t="shared" si="14"/>
        <v>0</v>
      </c>
      <c r="L72" s="7"/>
      <c r="M72" s="7"/>
      <c r="N72" s="7"/>
      <c r="O72" s="7">
        <f t="shared" si="12"/>
        <v>77151.460965277525</v>
      </c>
      <c r="P72" s="6">
        <f>+(VLOOKUP(E72, '[8]IMF balance of payment all'!$A:$P,8,0)+VLOOKUP(E72,'[8]IMF balance of payment all'!$A:$P,5,0))/1000000</f>
        <v>121684.5393873</v>
      </c>
      <c r="Q72" s="7">
        <f>+IFERROR(IFERROR(VLOOKUP(D72,[2]IMF_fdi_credit_debitinc!$A:$C,2,0),VLOOKUP(O72,[2]IMF_fdi_credit_debitinc!$A:$C,2,0)),0)/1000000</f>
        <v>137467</v>
      </c>
      <c r="R72" s="7">
        <f>+IFERROR(VLOOKUP(D72,[2]OECD_COUNTERDI_INCOME!A:B,2,0),0)</f>
        <v>8945.7189999999991</v>
      </c>
      <c r="S72" s="7">
        <f t="shared" si="10"/>
        <v>112738.8203873</v>
      </c>
      <c r="T72" s="206">
        <f t="shared" si="11"/>
        <v>0</v>
      </c>
      <c r="V72" s="69">
        <f t="shared" si="13"/>
        <v>32565.460612700001</v>
      </c>
    </row>
    <row r="73" spans="1:22" ht="14.25" customHeight="1" x14ac:dyDescent="0.35">
      <c r="D73" s="1" t="s">
        <v>308</v>
      </c>
      <c r="E73" s="205" t="s">
        <v>103</v>
      </c>
      <c r="F73" s="6">
        <f t="shared" si="7"/>
        <v>0</v>
      </c>
      <c r="G73" s="7">
        <f>+IFERROR(IFERROR(VLOOKUP(D73,[2]IMF_fdi_credit_debitinc!$A:$C,3,0),VLOOKUP(E73,[2]IMF_fdi_credit_debitinc!$A:$C,3,0)),0)/1000000</f>
        <v>0</v>
      </c>
      <c r="H73" s="7">
        <f>+IFERROR(VLOOKUP(D73,[2]OECD_COUNTERDO_INCOME!A:B,2,0),0)</f>
        <v>219.92500000000001</v>
      </c>
      <c r="I73" s="7" t="e">
        <f>+VLOOKUP(E73,'[2]CBC- IRS'!A:L,6,0)/1000000</f>
        <v>#N/A</v>
      </c>
      <c r="J73" s="7">
        <f t="shared" si="8"/>
        <v>-219.92500000000001</v>
      </c>
      <c r="K73" s="8">
        <f t="shared" si="14"/>
        <v>219.92500000000001</v>
      </c>
      <c r="L73" s="7"/>
      <c r="M73" s="7"/>
      <c r="N73" s="7"/>
      <c r="O73" s="7">
        <f t="shared" si="12"/>
        <v>110.00022724660397</v>
      </c>
      <c r="P73" s="6">
        <v>0</v>
      </c>
      <c r="Q73" s="7">
        <f>+IFERROR(IFERROR(VLOOKUP(D73,[2]IMF_fdi_credit_debitinc!$A:$C,2,0),VLOOKUP(O73,[2]IMF_fdi_credit_debitinc!$A:$C,2,0)),0)/1000000</f>
        <v>0</v>
      </c>
      <c r="R73" s="7">
        <f>+IFERROR(VLOOKUP(D73,[2]OECD_COUNTERDI_INCOME!A:B,2,0),0)</f>
        <v>432.29700000000003</v>
      </c>
      <c r="S73" s="7">
        <f t="shared" si="10"/>
        <v>-432.29700000000003</v>
      </c>
      <c r="T73" s="206">
        <f t="shared" si="11"/>
        <v>432.29700000000003</v>
      </c>
      <c r="V73" s="69">
        <f t="shared" si="13"/>
        <v>-212.37200000000001</v>
      </c>
    </row>
    <row r="74" spans="1:22" ht="14.25" customHeight="1" x14ac:dyDescent="0.35">
      <c r="D74" s="1" t="str">
        <f>+IFERROR(IFERROR(VLOOKUP(A74,[7]Sheet1!$A$1:$C$65536,3,0),VLOOKUP(E74,[7]Sheet1!$A$1:$C$65536,3,0)),VLOOKUP(B74,[7]Sheet1!$A$1:$C$65536,3,0))</f>
        <v>LBN</v>
      </c>
      <c r="E74" s="205" t="s">
        <v>104</v>
      </c>
      <c r="F74" s="6">
        <f t="shared" si="7"/>
        <v>0</v>
      </c>
      <c r="G74" s="7">
        <f>+IFERROR(IFERROR(VLOOKUP(D74,[2]IMF_fdi_credit_debitinc!$A:$C,3,0),VLOOKUP(E74,[2]IMF_fdi_credit_debitinc!$A:$C,3,0)),0)/1000000</f>
        <v>0</v>
      </c>
      <c r="H74" s="7">
        <f>+IFERROR(VLOOKUP(D74,[2]OECD_COUNTERDO_INCOME!A:B,2,0),0)</f>
        <v>162.214</v>
      </c>
      <c r="I74" s="7">
        <f>+VLOOKUP(E74,'[2]CBC- IRS'!A:L,6,0)/1000</f>
        <v>21.480919999999998</v>
      </c>
      <c r="J74" s="7">
        <f t="shared" si="8"/>
        <v>-162.214</v>
      </c>
      <c r="K74" s="8">
        <f t="shared" si="14"/>
        <v>162.214</v>
      </c>
      <c r="L74" s="7"/>
      <c r="M74" s="7"/>
      <c r="N74" s="7"/>
      <c r="O74" s="7">
        <f t="shared" si="12"/>
        <v>81.134827157351893</v>
      </c>
      <c r="P74" s="6">
        <f>+(VLOOKUP(E74, '[8]IMF balance of payment all'!$A:$P,8,0)+VLOOKUP(E74,'[8]IMF balance of payment all'!$A:$P,5,0))/1000000</f>
        <v>487.54139129999999</v>
      </c>
      <c r="Q74" s="7">
        <f>+IFERROR(IFERROR(VLOOKUP(D74,[2]IMF_fdi_credit_debitinc!$A:$C,2,0),VLOOKUP(O74,[2]IMF_fdi_credit_debitinc!$A:$C,2,0)),0)/1000000</f>
        <v>0</v>
      </c>
      <c r="R74" s="7">
        <f>+IFERROR(VLOOKUP(D74,[2]OECD_COUNTERDI_INCOME!A:B,2,0),0)</f>
        <v>59.704000000000001</v>
      </c>
      <c r="S74" s="7">
        <f t="shared" si="10"/>
        <v>427.83739129999998</v>
      </c>
      <c r="T74" s="206">
        <f t="shared" si="11"/>
        <v>0</v>
      </c>
      <c r="V74" s="69">
        <f t="shared" si="13"/>
        <v>-325.32739129999999</v>
      </c>
    </row>
    <row r="75" spans="1:22" ht="14.25" customHeight="1" x14ac:dyDescent="0.35">
      <c r="D75" s="1" t="s">
        <v>309</v>
      </c>
      <c r="E75" s="205" t="s">
        <v>105</v>
      </c>
      <c r="F75" s="6">
        <f t="shared" si="7"/>
        <v>0</v>
      </c>
      <c r="G75" s="7">
        <f>+IFERROR(IFERROR(VLOOKUP(D75,[2]IMF_fdi_credit_debitinc!$A:$C,3,0),VLOOKUP(E75,[2]IMF_fdi_credit_debitinc!$A:$C,3,0)),0)/1000000</f>
        <v>0</v>
      </c>
      <c r="H75" s="7">
        <f>+IFERROR(VLOOKUP(D75,[2]OECD_COUNTERDO_INCOME!A:B,2,0),0)</f>
        <v>8.3680000000000003</v>
      </c>
      <c r="I75" s="7" t="e">
        <f>+VLOOKUP(E75,'[2]CBC- IRS'!A:L,6,0)/1000000</f>
        <v>#N/A</v>
      </c>
      <c r="J75" s="7">
        <f t="shared" si="8"/>
        <v>-8.3680000000000003</v>
      </c>
      <c r="K75" s="8">
        <f t="shared" si="14"/>
        <v>8.3680000000000003</v>
      </c>
      <c r="L75" s="7"/>
      <c r="M75" s="7"/>
      <c r="N75" s="7"/>
      <c r="O75" s="7">
        <f t="shared" si="12"/>
        <v>4.1854354966446836</v>
      </c>
      <c r="P75" s="6">
        <v>0</v>
      </c>
      <c r="Q75" s="7">
        <f>+IFERROR(IFERROR(VLOOKUP(D75,[2]IMF_fdi_credit_debitinc!$A:$C,2,0),VLOOKUP(O75,[2]IMF_fdi_credit_debitinc!$A:$C,2,0)),0)/1000000</f>
        <v>0</v>
      </c>
      <c r="R75" s="7">
        <f>+IFERROR(VLOOKUP(D75,[2]OECD_COUNTERDI_INCOME!A:B,2,0),0)</f>
        <v>922.24800000000005</v>
      </c>
      <c r="S75" s="7">
        <f t="shared" si="10"/>
        <v>-922.24800000000005</v>
      </c>
      <c r="T75" s="206">
        <f t="shared" si="11"/>
        <v>922.24800000000005</v>
      </c>
      <c r="V75" s="69">
        <f t="shared" si="13"/>
        <v>-913.88</v>
      </c>
    </row>
    <row r="76" spans="1:22" ht="14.25" customHeight="1" x14ac:dyDescent="0.35">
      <c r="A76" s="1" t="s">
        <v>106</v>
      </c>
      <c r="B76" s="1" t="s">
        <v>107</v>
      </c>
      <c r="D76" s="1" t="str">
        <f>+IFERROR(IFERROR(VLOOKUP(A76,[7]Sheet1!$A$1:$C$65536,3,0),VLOOKUP(E76,[7]Sheet1!$A$1:$C$65536,3,0)),VLOOKUP(B76,[7]Sheet1!$A$1:$C$65536,3,0))</f>
        <v>MAC</v>
      </c>
      <c r="E76" s="205" t="s">
        <v>108</v>
      </c>
      <c r="F76" s="6">
        <f t="shared" si="7"/>
        <v>0</v>
      </c>
      <c r="G76" s="7">
        <f>+IFERROR(IFERROR(VLOOKUP(D76,[2]IMF_fdi_credit_debitinc!$A:$C,3,0),VLOOKUP(E76,[2]IMF_fdi_credit_debitinc!$A:$C,3,0)),0)/1000000</f>
        <v>0</v>
      </c>
      <c r="H76" s="7">
        <f>+IFERROR(VLOOKUP(D76,[2]OECD_COUNTERDO_INCOME!A:B,2,0),0)</f>
        <v>629.86800000000005</v>
      </c>
      <c r="I76" s="7">
        <f>+VLOOKUP(E76,'[2]CBC- IRS'!A:L,6,0)/1000</f>
        <v>2936.3052119999998</v>
      </c>
      <c r="J76" s="7">
        <f t="shared" si="8"/>
        <v>-629.86800000000005</v>
      </c>
      <c r="K76" s="8">
        <f t="shared" si="14"/>
        <v>2936.3052119999998</v>
      </c>
      <c r="L76" s="7"/>
      <c r="M76" s="7"/>
      <c r="N76" s="7"/>
      <c r="O76" s="7">
        <f t="shared" si="12"/>
        <v>1468.6563173144827</v>
      </c>
      <c r="P76" s="6">
        <v>0</v>
      </c>
      <c r="Q76" s="7">
        <f>+IFERROR(IFERROR(VLOOKUP(D76,[2]IMF_fdi_credit_debitinc!$A:$C,2,0),VLOOKUP(O76,[2]IMF_fdi_credit_debitinc!$A:$C,2,0)),0)/1000000</f>
        <v>0</v>
      </c>
      <c r="R76" s="7">
        <f>+IFERROR(VLOOKUP(D76,[2]OECD_COUNTERDI_INCOME!A:B,2,0),0)</f>
        <v>-3.84</v>
      </c>
      <c r="S76" s="7">
        <f t="shared" si="10"/>
        <v>3.84</v>
      </c>
      <c r="T76" s="206">
        <f t="shared" si="11"/>
        <v>0</v>
      </c>
      <c r="V76" s="69">
        <f t="shared" si="13"/>
        <v>2936.3052119999998</v>
      </c>
    </row>
    <row r="77" spans="1:22" ht="14.25" customHeight="1" x14ac:dyDescent="0.35">
      <c r="D77" s="1" t="str">
        <f>+IFERROR(IFERROR(VLOOKUP(A77,[7]Sheet1!$A$1:$C$65536,3,0),VLOOKUP(E77,[7]Sheet1!$A$1:$C$65536,3,0)),VLOOKUP(B77,[7]Sheet1!$A$1:$C$65536,3,0))</f>
        <v>MLT</v>
      </c>
      <c r="E77" s="213" t="s">
        <v>109</v>
      </c>
      <c r="F77" s="6">
        <f t="shared" si="7"/>
        <v>10408.1</v>
      </c>
      <c r="G77" s="7">
        <f>+IFERROR(IFERROR(VLOOKUP(D77,[2]IMF_fdi_credit_debitinc!$A:$C,3,0),VLOOKUP(E77,[2]IMF_fdi_credit_debitinc!$A:$C,3,0)),0)/1000000</f>
        <v>10408.1</v>
      </c>
      <c r="H77" s="7">
        <f>+IFERROR(VLOOKUP(D77,[2]OECD_COUNTERDO_INCOME!A:B,2,0),0)</f>
        <v>2650.8890000000001</v>
      </c>
      <c r="I77" s="7">
        <f>+VLOOKUP(E77,'[2]CBC- IRS'!A:L,6,0)/1000</f>
        <v>1737.288773</v>
      </c>
      <c r="J77" s="7">
        <f t="shared" si="8"/>
        <v>7757.2110000000002</v>
      </c>
      <c r="K77" s="8">
        <f t="shared" si="14"/>
        <v>0</v>
      </c>
      <c r="L77" s="7"/>
      <c r="M77" s="7"/>
      <c r="N77" s="7"/>
      <c r="O77" s="7">
        <f t="shared" si="12"/>
        <v>5205.8354675702112</v>
      </c>
      <c r="P77" s="6">
        <f>+(VLOOKUP(E77, '[8]IMF balance of payment all'!$A:$P,8,0)+VLOOKUP(E77,'[8]IMF balance of payment all'!$A:$P,5,0))/1000000</f>
        <v>30.117526699999999</v>
      </c>
      <c r="Q77" s="7">
        <f>+IFERROR(IFERROR(VLOOKUP(D77,[2]IMF_fdi_credit_debitinc!$A:$C,2,0),VLOOKUP(O77,[2]IMF_fdi_credit_debitinc!$A:$C,2,0)),0)/1000000</f>
        <v>55.546035842210003</v>
      </c>
      <c r="R77" s="7">
        <f>+IFERROR(VLOOKUP(D77,[2]OECD_COUNTERDI_INCOME!A:B,2,0),0)</f>
        <v>567.12900000000002</v>
      </c>
      <c r="S77" s="7">
        <f t="shared" si="10"/>
        <v>-537.01147330000003</v>
      </c>
      <c r="T77" s="206">
        <f t="shared" si="11"/>
        <v>537.01147330000003</v>
      </c>
      <c r="V77" s="69">
        <f t="shared" si="13"/>
        <v>9840.9710000000014</v>
      </c>
    </row>
    <row r="78" spans="1:22" ht="14.25" customHeight="1" x14ac:dyDescent="0.35">
      <c r="A78" s="1" t="s">
        <v>110</v>
      </c>
      <c r="B78" s="13" t="s">
        <v>111</v>
      </c>
      <c r="D78" s="1" t="str">
        <f>+IFERROR(IFERROR(VLOOKUP(A78,[7]Sheet1!$A$1:$C$65536,3,0),VLOOKUP(E78,[7]Sheet1!$A$1:$C$65536,3,0)),VLOOKUP(B78,[7]Sheet1!$A$1:$C$65536,3,0))</f>
        <v>MHL</v>
      </c>
      <c r="E78" s="213" t="s">
        <v>110</v>
      </c>
      <c r="F78" s="6">
        <f t="shared" si="7"/>
        <v>0</v>
      </c>
      <c r="G78" s="7">
        <f>+IFERROR(IFERROR(VLOOKUP(D78,[2]IMF_fdi_credit_debitinc!$A:$C,3,0),VLOOKUP(E78,[2]IMF_fdi_credit_debitinc!$A:$C,3,0)),0)/1000000</f>
        <v>0</v>
      </c>
      <c r="H78" s="7">
        <f>+IFERROR(VLOOKUP(D78,[2]OECD_COUNTERDO_INCOME!A:B,2,0),0)</f>
        <v>80.643000000000001</v>
      </c>
      <c r="I78" s="7" t="e">
        <f>+VLOOKUP(E78,'[2]CBC- IRS'!A:L,6,0)/1000000</f>
        <v>#N/A</v>
      </c>
      <c r="J78" s="7">
        <f t="shared" si="8"/>
        <v>-80.643000000000001</v>
      </c>
      <c r="K78" s="8">
        <f t="shared" si="14"/>
        <v>80.643000000000001</v>
      </c>
      <c r="L78" s="7"/>
      <c r="M78" s="7"/>
      <c r="N78" s="7"/>
      <c r="O78" s="7">
        <f t="shared" si="12"/>
        <v>40.335333981347652</v>
      </c>
      <c r="P78" s="6">
        <f>+(VLOOKUP(B78, '[8]IMF balance of payment all'!$A:$P,8,0)+VLOOKUP(B78,'[8]IMF balance of payment all'!$A:$P,5,0))/1000000</f>
        <v>0</v>
      </c>
      <c r="Q78" s="7">
        <f>+IFERROR(IFERROR(VLOOKUP(D78,[2]IMF_fdi_credit_debitinc!$A:$C,2,0),VLOOKUP(O78,[2]IMF_fdi_credit_debitinc!$A:$C,2,0)),0)/1000000</f>
        <v>0</v>
      </c>
      <c r="R78" s="7">
        <f>+IFERROR(VLOOKUP(D78,[2]OECD_COUNTERDI_INCOME!A:B,2,0),0)</f>
        <v>24.463999999999999</v>
      </c>
      <c r="S78" s="7">
        <f t="shared" si="10"/>
        <v>-24.463999999999999</v>
      </c>
      <c r="T78" s="206">
        <f t="shared" si="11"/>
        <v>24.463999999999999</v>
      </c>
      <c r="V78" s="69">
        <f t="shared" si="13"/>
        <v>56.179000000000002</v>
      </c>
    </row>
    <row r="79" spans="1:22" ht="14.25" customHeight="1" x14ac:dyDescent="0.35">
      <c r="D79" s="1" t="s">
        <v>310</v>
      </c>
      <c r="E79" s="205" t="s">
        <v>112</v>
      </c>
      <c r="F79" s="6"/>
      <c r="G79" s="7">
        <f>+IFERROR(IFERROR(VLOOKUP(D79,[2]IMF_fdi_credit_debitinc!$A:$C,3,0),VLOOKUP(E79,[2]IMF_fdi_credit_debitinc!$A:$C,3,0)),0)/1000000</f>
        <v>0</v>
      </c>
      <c r="H79" s="7">
        <f>+IFERROR(VLOOKUP(D79,[2]OECD_COUNTERDO_INCOME!A:B,2,0),0)</f>
        <v>0</v>
      </c>
      <c r="I79" s="7">
        <f>+VLOOKUP(E79,'[2]CBC- IRS'!A:L,6,0)/1000</f>
        <v>27.929586999999998</v>
      </c>
      <c r="J79" s="7"/>
      <c r="K79" s="8">
        <f t="shared" si="14"/>
        <v>27.929586999999998</v>
      </c>
      <c r="L79" s="7"/>
      <c r="M79" s="7"/>
      <c r="N79" s="7"/>
      <c r="O79" s="7">
        <f t="shared" si="12"/>
        <v>13.969584707985883</v>
      </c>
      <c r="P79" s="6"/>
      <c r="Q79" s="7">
        <f>+IFERROR(IFERROR(VLOOKUP(D79,[2]IMF_fdi_credit_debitinc!$A:$C,2,0),VLOOKUP(O79,[2]IMF_fdi_credit_debitinc!$A:$C,2,0)),0)/1000000</f>
        <v>0</v>
      </c>
      <c r="R79" s="7">
        <f>+IFERROR(VLOOKUP(D79,[2]OECD_COUNTERDI_INCOME!A:B,2,0),0)</f>
        <v>0</v>
      </c>
      <c r="S79" s="7"/>
      <c r="T79" s="206"/>
      <c r="V79" s="69">
        <f t="shared" si="13"/>
        <v>27.929586999999998</v>
      </c>
    </row>
    <row r="80" spans="1:22" ht="14.25" customHeight="1" x14ac:dyDescent="0.35">
      <c r="D80" s="1" t="s">
        <v>311</v>
      </c>
      <c r="E80" s="205" t="s">
        <v>113</v>
      </c>
      <c r="F80" s="6">
        <f t="shared" ref="F80:F88" si="15">+G80</f>
        <v>0</v>
      </c>
      <c r="G80" s="7">
        <f>+IFERROR(IFERROR(VLOOKUP(D80,[2]IMF_fdi_credit_debitinc!$A:$C,3,0),VLOOKUP(E80,[2]IMF_fdi_credit_debitinc!$A:$C,3,0)),0)/1000000</f>
        <v>0</v>
      </c>
      <c r="H80" s="7">
        <f>+IFERROR(VLOOKUP(D80,[2]OECD_COUNTERDO_INCOME!A:B,2,0),0)</f>
        <v>-12.868</v>
      </c>
      <c r="I80" s="7" t="e">
        <f>+VLOOKUP(E80,'[2]CBC- IRS'!A:L,6,0)/1000000</f>
        <v>#N/A</v>
      </c>
      <c r="J80" s="7">
        <f t="shared" ref="J80:J88" si="16">+F80-H80</f>
        <v>12.868</v>
      </c>
      <c r="K80" s="8">
        <f t="shared" si="14"/>
        <v>0</v>
      </c>
      <c r="L80" s="7"/>
      <c r="M80" s="7"/>
      <c r="N80" s="7"/>
      <c r="O80" s="7">
        <f t="shared" si="12"/>
        <v>0</v>
      </c>
      <c r="P80" s="6">
        <f>+(VLOOKUP(E80, '[8]IMF balance of payment all'!$A:$P,8,0)+VLOOKUP(E80,'[8]IMF balance of payment all'!$A:$P,5,0))/1000000</f>
        <v>7.8212299999999998E-2</v>
      </c>
      <c r="Q80" s="7">
        <f>+IFERROR(IFERROR(VLOOKUP(D80,[2]IMF_fdi_credit_debitinc!$A:$C,2,0),VLOOKUP(O80,[2]IMF_fdi_credit_debitinc!$A:$C,2,0)),0)/1000000</f>
        <v>0</v>
      </c>
      <c r="R80" s="7">
        <f>+IFERROR(VLOOKUP(D80,[2]OECD_COUNTERDI_INCOME!A:B,2,0),0)</f>
        <v>0</v>
      </c>
      <c r="S80" s="7">
        <f t="shared" ref="S80:S88" si="17">+P80-R80</f>
        <v>7.8212299999999998E-2</v>
      </c>
      <c r="T80" s="206">
        <f t="shared" ref="T80:T88" si="18">IF(P80&lt;R80,-S80,0)</f>
        <v>0</v>
      </c>
      <c r="V80" s="69">
        <f t="shared" si="13"/>
        <v>-7.8212299999999998E-2</v>
      </c>
    </row>
    <row r="81" spans="1:22" ht="14.25" customHeight="1" x14ac:dyDescent="0.35">
      <c r="D81" s="1" t="str">
        <f>+IFERROR(IFERROR(VLOOKUP(A81,[7]Sheet1!$A$1:$C$65536,3,0),VLOOKUP(E81,[7]Sheet1!$A$1:$C$65536,3,0)),VLOOKUP(B81,[7]Sheet1!$A$1:$C$65536,3,0))</f>
        <v>MUS</v>
      </c>
      <c r="E81" s="205" t="s">
        <v>114</v>
      </c>
      <c r="F81" s="6">
        <f t="shared" si="15"/>
        <v>0</v>
      </c>
      <c r="G81" s="7">
        <f>+IFERROR(IFERROR(VLOOKUP(D81,[2]IMF_fdi_credit_debitinc!$A:$C,3,0),VLOOKUP(E81,[2]IMF_fdi_credit_debitinc!$A:$C,3,0)),0)/1000000</f>
        <v>0</v>
      </c>
      <c r="H81" s="7">
        <f>+IFERROR(VLOOKUP(D81,[2]OECD_COUNTERDO_INCOME!A:B,2,0),0)</f>
        <v>574.52200000000005</v>
      </c>
      <c r="I81" s="7">
        <f>+VLOOKUP(E81,'[2]CBC- IRS'!A:L,6,0)/1000</f>
        <v>629.72433999999998</v>
      </c>
      <c r="J81" s="7">
        <f t="shared" si="16"/>
        <v>-574.52200000000005</v>
      </c>
      <c r="K81" s="8">
        <f t="shared" si="14"/>
        <v>629.72433999999998</v>
      </c>
      <c r="L81" s="7"/>
      <c r="M81" s="7"/>
      <c r="N81" s="7"/>
      <c r="O81" s="7">
        <f t="shared" si="12"/>
        <v>314.97019667030895</v>
      </c>
      <c r="P81" s="6">
        <f>+(VLOOKUP(E81, '[8]IMF balance of payment all'!$A:$P,8,0)+VLOOKUP(E81,'[8]IMF balance of payment all'!$A:$P,5,0))/1000000</f>
        <v>3701.4363321999999</v>
      </c>
      <c r="Q81" s="7">
        <f>+IFERROR(IFERROR(VLOOKUP(D81,[2]IMF_fdi_credit_debitinc!$A:$C,2,0),VLOOKUP(O81,[2]IMF_fdi_credit_debitinc!$A:$C,2,0)),0)/1000000</f>
        <v>0</v>
      </c>
      <c r="R81" s="7">
        <f>+IFERROR(VLOOKUP(D81,[2]OECD_COUNTERDI_INCOME!A:B,2,0),0)</f>
        <v>219.898</v>
      </c>
      <c r="S81" s="7">
        <f t="shared" si="17"/>
        <v>3481.5383321999998</v>
      </c>
      <c r="T81" s="206">
        <f t="shared" si="18"/>
        <v>0</v>
      </c>
      <c r="V81" s="69">
        <f t="shared" si="13"/>
        <v>-3071.7119922000002</v>
      </c>
    </row>
    <row r="82" spans="1:22" ht="14.25" customHeight="1" x14ac:dyDescent="0.35">
      <c r="D82" s="1" t="str">
        <f>+IFERROR(IFERROR(VLOOKUP(A82,[7]Sheet1!$A$1:$C$65536,3,0),VLOOKUP(E82,[7]Sheet1!$A$1:$C$65536,3,0)),VLOOKUP(B82,[7]Sheet1!$A$1:$C$65536,3,0))</f>
        <v>SYC</v>
      </c>
      <c r="E82" s="205" t="s">
        <v>115</v>
      </c>
      <c r="F82" s="6">
        <f t="shared" si="15"/>
        <v>63.096974085490004</v>
      </c>
      <c r="G82" s="7">
        <f>+IFERROR(IFERROR(VLOOKUP(D82,[2]IMF_fdi_credit_debitinc!$A:$C,3,0),VLOOKUP(E82,[2]IMF_fdi_credit_debitinc!$A:$C,3,0)),0)/1000000</f>
        <v>63.096974085490004</v>
      </c>
      <c r="H82" s="7">
        <f>+IFERROR(VLOOKUP(D82,[2]OECD_COUNTERDO_INCOME!A:B,2,0),0)</f>
        <v>176.006</v>
      </c>
      <c r="I82" s="7" t="e">
        <f>+VLOOKUP(E82,'[2]CBC- IRS'!A:L,6,0)/1000000</f>
        <v>#N/A</v>
      </c>
      <c r="J82" s="7">
        <f t="shared" si="16"/>
        <v>-112.90902591451</v>
      </c>
      <c r="K82" s="8">
        <f t="shared" si="14"/>
        <v>112.90902591451</v>
      </c>
      <c r="L82" s="7"/>
      <c r="M82" s="7"/>
      <c r="N82" s="7"/>
      <c r="O82" s="7">
        <f t="shared" si="12"/>
        <v>88.033193119316934</v>
      </c>
      <c r="P82" s="6">
        <f>+(VLOOKUP(E82, '[8]IMF balance of payment all'!$A:$P,8,0)+VLOOKUP(E82,'[8]IMF balance of payment all'!$A:$P,5,0))/1000000</f>
        <v>1.8137638999999999</v>
      </c>
      <c r="Q82" s="7">
        <f>+IFERROR(IFERROR(VLOOKUP(D82,[2]IMF_fdi_credit_debitinc!$A:$C,2,0),VLOOKUP(O82,[2]IMF_fdi_credit_debitinc!$A:$C,2,0)),0)/1000000</f>
        <v>0.98539395027999999</v>
      </c>
      <c r="R82" s="7">
        <f>+IFERROR(VLOOKUP(D82,[2]OECD_COUNTERDI_INCOME!A:B,2,0),0)</f>
        <v>14.298999999999999</v>
      </c>
      <c r="S82" s="7">
        <f t="shared" si="17"/>
        <v>-12.4852361</v>
      </c>
      <c r="T82" s="206">
        <f t="shared" si="18"/>
        <v>12.4852361</v>
      </c>
      <c r="V82" s="69">
        <f t="shared" si="13"/>
        <v>161.70699999999999</v>
      </c>
    </row>
    <row r="83" spans="1:22" ht="14.25" customHeight="1" x14ac:dyDescent="0.35">
      <c r="D83" s="1" t="str">
        <f>+IFERROR(IFERROR(VLOOKUP(A83,[7]Sheet1!$A$1:$C$65536,3,0),VLOOKUP(E83,[7]Sheet1!$A$1:$C$65536,3,0)),VLOOKUP(B83,[7]Sheet1!$A$1:$C$65536,3,0))</f>
        <v>SGP</v>
      </c>
      <c r="E83" s="205" t="s">
        <v>116</v>
      </c>
      <c r="F83" s="6">
        <f>+[2]Singapore!$W$98</f>
        <v>142672.34988880652</v>
      </c>
      <c r="G83" s="7">
        <f>+IFERROR(IFERROR(VLOOKUP(D83,[2]IMF_fdi_credit_debitinc!$A:$C,3,0),VLOOKUP(E83,[2]IMF_fdi_credit_debitinc!$A:$C,3,0)),0)/1000000</f>
        <v>0</v>
      </c>
      <c r="H83" s="7">
        <f>+IFERROR(VLOOKUP(D83,[2]OECD_COUNTERDO_INCOME!A:B,2,0),0)</f>
        <v>71986.789000000004</v>
      </c>
      <c r="I83" s="7">
        <f>+VLOOKUP(E83,'[2]CBC- IRS'!A:L,6,0)/1000</f>
        <v>62757.099743999999</v>
      </c>
      <c r="J83" s="7">
        <f t="shared" si="16"/>
        <v>70685.560888806518</v>
      </c>
      <c r="K83" s="8">
        <v>0</v>
      </c>
      <c r="L83" s="7"/>
      <c r="M83" s="7"/>
      <c r="N83" s="7"/>
      <c r="O83" s="7">
        <f t="shared" si="12"/>
        <v>0</v>
      </c>
      <c r="P83" s="6">
        <f>+(VLOOKUP(E83, '[8]IMF balance of payment all'!$A:$P,8,0)+VLOOKUP(E83,'[8]IMF balance of payment all'!$A:$P,5,0))/1000000</f>
        <v>0</v>
      </c>
      <c r="Q83" s="7">
        <f>+IFERROR(IFERROR(VLOOKUP(D83,[2]IMF_fdi_credit_debitinc!$A:$C,2,0),VLOOKUP(O83,[2]IMF_fdi_credit_debitinc!$A:$C,2,0)),0)/1000000</f>
        <v>0</v>
      </c>
      <c r="R83" s="7">
        <f>+IFERROR(VLOOKUP(D83,[2]OECD_COUNTERDI_INCOME!A:B,2,0),0)</f>
        <v>10578.924000000001</v>
      </c>
      <c r="S83" s="7">
        <f t="shared" si="17"/>
        <v>-10578.924000000001</v>
      </c>
      <c r="T83" s="206">
        <f t="shared" si="18"/>
        <v>10578.924000000001</v>
      </c>
      <c r="V83" s="69">
        <f t="shared" si="13"/>
        <v>132093.42588880652</v>
      </c>
    </row>
    <row r="84" spans="1:22" ht="14.25" customHeight="1" x14ac:dyDescent="0.35">
      <c r="D84" s="1" t="s">
        <v>312</v>
      </c>
      <c r="E84" s="205" t="s">
        <v>117</v>
      </c>
      <c r="F84" s="6">
        <f t="shared" si="15"/>
        <v>0</v>
      </c>
      <c r="G84" s="7">
        <f>+IFERROR(IFERROR(VLOOKUP(D84,[2]IMF_fdi_credit_debitinc!$A:$C,3,0),VLOOKUP(E84,[2]IMF_fdi_credit_debitinc!$A:$C,3,0)),0)/1000000</f>
        <v>0</v>
      </c>
      <c r="H84" s="7">
        <f>+IFERROR(VLOOKUP(D84,[2]OECD_COUNTERDO_INCOME!A:B,2,0),0)</f>
        <v>57.984999999999999</v>
      </c>
      <c r="I84" s="7" t="e">
        <f>+VLOOKUP(E84,'[2]CBC- IRS'!A:L,6,0)/1000000</f>
        <v>#N/A</v>
      </c>
      <c r="J84" s="7">
        <f t="shared" si="16"/>
        <v>-57.984999999999999</v>
      </c>
      <c r="K84" s="8">
        <f t="shared" si="14"/>
        <v>57.984999999999999</v>
      </c>
      <c r="L84" s="7"/>
      <c r="M84" s="7"/>
      <c r="N84" s="7">
        <v>6.3020096796338532</v>
      </c>
      <c r="O84" s="7"/>
      <c r="P84" s="6">
        <v>0</v>
      </c>
      <c r="Q84" s="7">
        <f>+IFERROR(IFERROR(VLOOKUP(D84,[2]IMF_fdi_credit_debitinc!$A:$C,2,0),VLOOKUP(O84,[2]IMF_fdi_credit_debitinc!$A:$C,2,0)),0)/1000000</f>
        <v>0</v>
      </c>
      <c r="R84" s="7">
        <f>+IFERROR(VLOOKUP(D84,[2]OECD_COUNTERDI_INCOME!A:B,2,0),0)</f>
        <v>-0.128</v>
      </c>
      <c r="S84" s="7">
        <f t="shared" si="17"/>
        <v>0.128</v>
      </c>
      <c r="T84" s="206">
        <f t="shared" si="18"/>
        <v>0</v>
      </c>
      <c r="V84" s="69">
        <f t="shared" si="13"/>
        <v>64.287009679633854</v>
      </c>
    </row>
    <row r="85" spans="1:22" ht="14.25" customHeight="1" x14ac:dyDescent="0.35">
      <c r="D85" s="1" t="s">
        <v>313</v>
      </c>
      <c r="E85" s="205" t="s">
        <v>118</v>
      </c>
      <c r="F85" s="6">
        <f t="shared" si="15"/>
        <v>0</v>
      </c>
      <c r="G85" s="7">
        <f>+IFERROR(IFERROR(VLOOKUP(D85,[2]IMF_fdi_credit_debitinc!$A:$C,3,0),VLOOKUP(E85,[2]IMF_fdi_credit_debitinc!$A:$C,3,0)),0)/1000000</f>
        <v>0</v>
      </c>
      <c r="H85" s="7">
        <f>+IFERROR(VLOOKUP(D85,[2]OECD_COUNTERDO_INCOME!A:B,2,0),0)</f>
        <v>14.881</v>
      </c>
      <c r="I85" s="7" t="e">
        <f>+VLOOKUP(E85,'[2]CBC- IRS'!A:L,6,0)/1000000</f>
        <v>#N/A</v>
      </c>
      <c r="J85" s="7">
        <f t="shared" si="16"/>
        <v>-14.881</v>
      </c>
      <c r="K85" s="8">
        <f t="shared" si="14"/>
        <v>14.881</v>
      </c>
      <c r="L85" s="7"/>
      <c r="M85" s="7"/>
      <c r="N85" s="7"/>
      <c r="O85" s="7">
        <f t="shared" si="12"/>
        <v>7.4430527755221707</v>
      </c>
      <c r="P85" s="6">
        <v>0</v>
      </c>
      <c r="Q85" s="7">
        <f>+IFERROR(IFERROR(VLOOKUP(D85,[2]IMF_fdi_credit_debitinc!$A:$C,2,0),VLOOKUP(O85,[2]IMF_fdi_credit_debitinc!$A:$C,2,0)),0)/1000000</f>
        <v>0</v>
      </c>
      <c r="R85" s="7">
        <f>+IFERROR(VLOOKUP(D85,[2]OECD_COUNTERDI_INCOME!A:B,2,0),0)</f>
        <v>2.44</v>
      </c>
      <c r="S85" s="7">
        <f t="shared" si="17"/>
        <v>-2.44</v>
      </c>
      <c r="T85" s="206">
        <f t="shared" si="18"/>
        <v>2.44</v>
      </c>
      <c r="V85" s="69">
        <f t="shared" si="13"/>
        <v>12.441000000000001</v>
      </c>
    </row>
    <row r="86" spans="1:22" ht="14.25" customHeight="1" x14ac:dyDescent="0.35">
      <c r="D86" s="1" t="s">
        <v>314</v>
      </c>
      <c r="E86" s="205" t="s">
        <v>119</v>
      </c>
      <c r="F86" s="6">
        <f t="shared" si="15"/>
        <v>0</v>
      </c>
      <c r="G86" s="7">
        <f>+IFERROR(IFERROR(VLOOKUP(D86,[2]IMF_fdi_credit_debitinc!$A:$C,3,0),VLOOKUP(E86,[2]IMF_fdi_credit_debitinc!$A:$C,3,0)),0)/1000000</f>
        <v>0</v>
      </c>
      <c r="H86" s="7">
        <f>+IFERROR(VLOOKUP(D86,[2]OECD_COUNTERDO_INCOME!A:B,2,0),0)</f>
        <v>1.7</v>
      </c>
      <c r="I86" s="7" t="e">
        <f>+VLOOKUP(E86,'[2]CBC- IRS'!A:L,6,0)/1000000</f>
        <v>#N/A</v>
      </c>
      <c r="J86" s="7">
        <f t="shared" si="16"/>
        <v>-1.7</v>
      </c>
      <c r="K86" s="8">
        <f t="shared" si="14"/>
        <v>1.7</v>
      </c>
      <c r="L86" s="7"/>
      <c r="M86" s="7"/>
      <c r="N86" s="7"/>
      <c r="O86" s="7">
        <f t="shared" si="12"/>
        <v>0.85029162814244275</v>
      </c>
      <c r="P86" s="6">
        <v>0</v>
      </c>
      <c r="Q86" s="7">
        <f>+IFERROR(IFERROR(VLOOKUP(D86,[2]IMF_fdi_credit_debitinc!$A:$C,2,0),VLOOKUP(O86,[2]IMF_fdi_credit_debitinc!$A:$C,2,0)),0)/1000000</f>
        <v>0</v>
      </c>
      <c r="R86" s="7">
        <f>+IFERROR(VLOOKUP(D86,[2]OECD_COUNTERDI_INCOME!A:B,2,0),0)</f>
        <v>3.1880000000000002</v>
      </c>
      <c r="S86" s="7">
        <f t="shared" si="17"/>
        <v>-3.1880000000000002</v>
      </c>
      <c r="T86" s="206">
        <f t="shared" si="18"/>
        <v>3.1880000000000002</v>
      </c>
      <c r="V86" s="69">
        <f t="shared" si="13"/>
        <v>-1.4880000000000002</v>
      </c>
    </row>
    <row r="87" spans="1:22" ht="14.25" customHeight="1" x14ac:dyDescent="0.35">
      <c r="D87" s="1" t="s">
        <v>315</v>
      </c>
      <c r="E87" s="205" t="s">
        <v>120</v>
      </c>
      <c r="F87" s="6">
        <f t="shared" si="15"/>
        <v>0</v>
      </c>
      <c r="G87" s="7">
        <f>+IFERROR(IFERROR(VLOOKUP(D87,[2]IMF_fdi_credit_debitinc!$A:$C,3,0),VLOOKUP(E87,[2]IMF_fdi_credit_debitinc!$A:$C,3,0)),0)/1000000</f>
        <v>0</v>
      </c>
      <c r="H87" s="7">
        <f>+IFERROR(VLOOKUP(D87,[2]OECD_COUNTERDO_INCOME!A:B,2,0),0)</f>
        <v>0</v>
      </c>
      <c r="I87" s="7" t="e">
        <f>+VLOOKUP(E87,'[2]CBC- IRS'!A:L,6,0)/1000000</f>
        <v>#N/A</v>
      </c>
      <c r="J87" s="7">
        <f t="shared" si="16"/>
        <v>0</v>
      </c>
      <c r="K87" s="8">
        <f t="shared" si="14"/>
        <v>0</v>
      </c>
      <c r="L87" s="7"/>
      <c r="M87" s="7"/>
      <c r="N87" s="7">
        <v>24.917365191704601</v>
      </c>
      <c r="O87" s="7"/>
      <c r="P87" s="6">
        <v>0</v>
      </c>
      <c r="Q87" s="7">
        <f>+IFERROR(IFERROR(VLOOKUP(D87,[2]IMF_fdi_credit_debitinc!$A:$C,2,0),VLOOKUP(O87,[2]IMF_fdi_credit_debitinc!$A:$C,2,0)),0)/1000000</f>
        <v>0</v>
      </c>
      <c r="R87" s="7">
        <f>+IFERROR(VLOOKUP(D87,[2]OECD_COUNTERDI_INCOME!A:B,2,0),0)</f>
        <v>2.8069999999999999</v>
      </c>
      <c r="S87" s="7">
        <f t="shared" si="17"/>
        <v>-2.8069999999999999</v>
      </c>
      <c r="T87" s="206">
        <f t="shared" si="18"/>
        <v>2.8069999999999999</v>
      </c>
      <c r="V87" s="69">
        <f t="shared" si="13"/>
        <v>22.110365191704602</v>
      </c>
    </row>
    <row r="88" spans="1:22" ht="14.25" customHeight="1" x14ac:dyDescent="0.35">
      <c r="D88" s="1" t="str">
        <f>+IFERROR(IFERROR(VLOOKUP(A88,[7]Sheet1!$A$1:$C$65536,3,0),VLOOKUP(E88,[7]Sheet1!$A$1:$C$65536,3,0)),VLOOKUP(B88,[7]Sheet1!$A$1:$C$65536,3,0))</f>
        <v>PAN</v>
      </c>
      <c r="E88" s="205" t="s">
        <v>121</v>
      </c>
      <c r="F88" s="6">
        <f t="shared" si="15"/>
        <v>3546.2</v>
      </c>
      <c r="G88" s="7">
        <f>+IFERROR(IFERROR(VLOOKUP(D88,[2]IMF_fdi_credit_debitinc!$A:$C,3,0),VLOOKUP(E88,[2]IMF_fdi_credit_debitinc!$A:$C,3,0)),0)/1000000</f>
        <v>3546.2</v>
      </c>
      <c r="H88" s="7">
        <f>+IFERROR(VLOOKUP(D88,[2]OECD_COUNTERDO_INCOME!A:B,2,0),0)</f>
        <v>813.21699999999998</v>
      </c>
      <c r="I88" s="7">
        <f>+VLOOKUP(E88,'[2]CBC- IRS'!A:L,6,0)/1000</f>
        <v>729.05794700000001</v>
      </c>
      <c r="J88" s="7">
        <f t="shared" si="16"/>
        <v>2732.9829999999997</v>
      </c>
      <c r="K88" s="8">
        <f t="shared" si="14"/>
        <v>0</v>
      </c>
      <c r="L88" s="7"/>
      <c r="M88" s="7"/>
      <c r="N88" s="7"/>
      <c r="O88" s="7">
        <f t="shared" si="12"/>
        <v>1773.7083363051356</v>
      </c>
      <c r="P88" s="6">
        <f>+(VLOOKUP(E88, '[8]IMF balance of payment all'!$A:$P,8,0)+VLOOKUP(E88,'[8]IMF balance of payment all'!$A:$P,5,0))/1000000</f>
        <v>322.8</v>
      </c>
      <c r="Q88" s="7">
        <f>+IFERROR(IFERROR(VLOOKUP(D88,[2]IMF_fdi_credit_debitinc!$A:$C,2,0),VLOOKUP(O88,[2]IMF_fdi_credit_debitinc!$A:$C,2,0)),0)/1000000</f>
        <v>235.66900000000001</v>
      </c>
      <c r="R88" s="7">
        <f>+IFERROR(VLOOKUP(D88,[2]OECD_COUNTERDI_INCOME!A:B,2,0),0)</f>
        <v>256.65699999999998</v>
      </c>
      <c r="S88" s="7">
        <f t="shared" si="17"/>
        <v>66.143000000000029</v>
      </c>
      <c r="T88" s="206">
        <f t="shared" si="18"/>
        <v>0</v>
      </c>
      <c r="V88" s="69">
        <f t="shared" si="13"/>
        <v>3223.3999999999996</v>
      </c>
    </row>
    <row r="89" spans="1:22" ht="14.25" customHeight="1" x14ac:dyDescent="0.35">
      <c r="D89" s="1" t="s">
        <v>316</v>
      </c>
      <c r="E89" s="205" t="s">
        <v>122</v>
      </c>
      <c r="F89" s="6">
        <v>0</v>
      </c>
      <c r="G89" s="7">
        <f>+IFERROR(IFERROR(VLOOKUP(D89,[2]IMF_fdi_credit_debitinc!$A:$C,3,0),VLOOKUP(E89,[2]IMF_fdi_credit_debitinc!$A:$C,3,0)),0)/1000000</f>
        <v>0</v>
      </c>
      <c r="H89" s="7">
        <f>+IFERROR(VLOOKUP(D89,[2]OECD_COUNTERDO_INCOME!A:B,2,0),0)</f>
        <v>0</v>
      </c>
      <c r="I89" s="7">
        <f>+VLOOKUP(E89,'[2]CBC- IRS'!A:L,6,0)/1000</f>
        <v>33363.980559999996</v>
      </c>
      <c r="J89" s="7">
        <v>0</v>
      </c>
      <c r="K89" s="8">
        <f t="shared" si="14"/>
        <v>33363.980559999996</v>
      </c>
      <c r="L89" s="7"/>
      <c r="M89" s="7"/>
      <c r="N89" s="7">
        <v>0</v>
      </c>
      <c r="O89" s="7"/>
      <c r="P89" s="6">
        <v>0</v>
      </c>
      <c r="Q89" s="7">
        <f>+IFERROR(IFERROR(VLOOKUP(D89,[2]IMF_fdi_credit_debitinc!$A:$C,2,0),VLOOKUP(O89,[2]IMF_fdi_credit_debitinc!$A:$C,2,0)),0)/1000000</f>
        <v>0</v>
      </c>
      <c r="R89" s="7">
        <f>+IFERROR(VLOOKUP(D89,[2]OECD_COUNTERDI_INCOME!A:B,2,0),0)</f>
        <v>0</v>
      </c>
      <c r="S89" s="7">
        <v>0</v>
      </c>
      <c r="T89" s="206">
        <v>0</v>
      </c>
      <c r="V89" s="69">
        <f t="shared" si="13"/>
        <v>33363.980559999996</v>
      </c>
    </row>
    <row r="90" spans="1:22" ht="40" customHeight="1" x14ac:dyDescent="0.35">
      <c r="D90" s="1" t="e">
        <f>+IFERROR(IFERROR(VLOOKUP(A90,[7]Sheet1!$A$1:$C$65536,3,0),VLOOKUP(E90,[7]Sheet1!$A$1:$C$65536,3,0)),VLOOKUP(B90,[7]Sheet1!$A$1:$C$65536,3,0))</f>
        <v>#N/A</v>
      </c>
      <c r="E90" s="214" t="s">
        <v>123</v>
      </c>
      <c r="F90" s="10">
        <f>SUM(F91:F219)</f>
        <v>116280.30753031861</v>
      </c>
      <c r="G90" s="11">
        <f t="shared" ref="G90:T90" si="19">SUM(G91:G219)</f>
        <v>116634.5388115166</v>
      </c>
      <c r="H90" s="11">
        <f t="shared" si="19"/>
        <v>68097.191000000006</v>
      </c>
      <c r="I90" s="11" t="e">
        <f t="shared" si="19"/>
        <v>#N/A</v>
      </c>
      <c r="J90" s="11">
        <f t="shared" si="19"/>
        <v>53174.105530318608</v>
      </c>
      <c r="K90" s="8"/>
      <c r="L90" s="11"/>
      <c r="M90" s="11"/>
      <c r="N90" s="11">
        <f t="shared" si="19"/>
        <v>0</v>
      </c>
      <c r="O90" s="11">
        <f t="shared" si="19"/>
        <v>0</v>
      </c>
      <c r="P90" s="10">
        <f t="shared" si="19"/>
        <v>16329.390102297621</v>
      </c>
      <c r="Q90" s="11">
        <f t="shared" si="19"/>
        <v>16329.390102297621</v>
      </c>
      <c r="R90" s="11">
        <f t="shared" si="19"/>
        <v>4495.848</v>
      </c>
      <c r="S90" s="11">
        <f t="shared" si="19"/>
        <v>12568.30910229762</v>
      </c>
      <c r="T90" s="211">
        <f t="shared" si="19"/>
        <v>0</v>
      </c>
      <c r="V90" s="69">
        <f t="shared" si="13"/>
        <v>99950.917428020985</v>
      </c>
    </row>
    <row r="91" spans="1:22" ht="14.25" customHeight="1" x14ac:dyDescent="0.35">
      <c r="A91" s="1" t="s">
        <v>124</v>
      </c>
      <c r="B91" s="1" t="s">
        <v>125</v>
      </c>
      <c r="D91" s="1" t="str">
        <f>+IFERROR(IFERROR(VLOOKUP(A91,[7]Sheet1!$A$1:$C$65536,3,0),VLOOKUP(E91,[7]Sheet1!$A$1:$C$65536,3,0)),VLOOKUP(B91,[7]Sheet1!$A$1:$C$65536,3,0))</f>
        <v>AFG</v>
      </c>
      <c r="E91" s="205" t="s">
        <v>126</v>
      </c>
      <c r="F91" s="6">
        <f t="shared" ref="F91:F154" si="20">+G91</f>
        <v>0</v>
      </c>
      <c r="G91" s="7">
        <f>+IFERROR(IFERROR(VLOOKUP(D91,[2]IMF_fdi_credit_debitinc!$A:$C,3,0),VLOOKUP(E91,[2]IMF_fdi_credit_debitinc!$A:$C,3,0)),0)/1000000</f>
        <v>0</v>
      </c>
      <c r="H91" s="7">
        <f>+IFERROR(VLOOKUP(D91,[2]OECD_COUNTERDO_INCOME!A:B,2,0),0)</f>
        <v>2</v>
      </c>
      <c r="I91" s="7" t="e">
        <f>+VLOOKUP(E91,'[2]CBC- IRS'!A:L,6,0)/1000000</f>
        <v>#N/A</v>
      </c>
      <c r="J91" s="7">
        <f t="shared" ref="J91:J154" si="21">+F91-H91</f>
        <v>-2</v>
      </c>
      <c r="K91" s="8"/>
      <c r="L91" s="7"/>
      <c r="M91" s="7"/>
      <c r="N91" s="7"/>
      <c r="O91" s="7"/>
      <c r="P91" s="6">
        <f>+Q91</f>
        <v>0</v>
      </c>
      <c r="Q91" s="7">
        <f>+IFERROR(IFERROR(VLOOKUP(D91,[2]IMF_fdi_credit_debitinc!$A:$C,2,0),VLOOKUP(O91,[2]IMF_fdi_credit_debitinc!$A:$C,2,0)),0)/1000000</f>
        <v>0</v>
      </c>
      <c r="R91" s="7">
        <f>+IFERROR(VLOOKUP(D91,[2]OECD_COUNTERDI_INCOME!A:B,2,0),0)</f>
        <v>-0.97</v>
      </c>
      <c r="S91" s="7">
        <f t="shared" ref="S91:S154" si="22">+P91-R91</f>
        <v>0.97</v>
      </c>
      <c r="T91" s="206"/>
    </row>
    <row r="92" spans="1:22" ht="14.25" customHeight="1" x14ac:dyDescent="0.35">
      <c r="D92" s="1" t="str">
        <f>+IFERROR(IFERROR(VLOOKUP(A92,[7]Sheet1!$A$1:$C$65536,3,0),VLOOKUP(E92,[7]Sheet1!$A$1:$C$65536,3,0)),VLOOKUP(B92,[7]Sheet1!$A$1:$C$65536,3,0))</f>
        <v>ALB</v>
      </c>
      <c r="E92" s="205" t="s">
        <v>127</v>
      </c>
      <c r="F92" s="6">
        <f t="shared" si="20"/>
        <v>475.59</v>
      </c>
      <c r="G92" s="7">
        <f>+IFERROR(IFERROR(VLOOKUP(D92,[2]IMF_fdi_credit_debitinc!$A:$C,3,0),VLOOKUP(E92,[2]IMF_fdi_credit_debitinc!$A:$C,3,0)),0)/1000000</f>
        <v>475.59</v>
      </c>
      <c r="H92" s="7">
        <f>+IFERROR(VLOOKUP(D92,[2]OECD_COUNTERDO_INCOME!A:B,2,0),0)</f>
        <v>-205.78100000000001</v>
      </c>
      <c r="I92" s="7">
        <f>+VLOOKUP(E92,'[2]CBC- IRS'!A:L,6,0)/1000000</f>
        <v>-1.2228249E-2</v>
      </c>
      <c r="J92" s="7">
        <f t="shared" si="21"/>
        <v>681.37099999999998</v>
      </c>
      <c r="K92" s="8"/>
      <c r="L92" s="7"/>
      <c r="M92" s="7"/>
      <c r="N92" s="7"/>
      <c r="O92" s="7"/>
      <c r="P92" s="6">
        <f t="shared" ref="P92:P155" si="23">+Q92</f>
        <v>17.37236838826</v>
      </c>
      <c r="Q92" s="7">
        <f>+IFERROR(IFERROR(VLOOKUP(D92,[2]IMF_fdi_credit_debitinc!$A:$C,2,0),VLOOKUP(O92,[2]IMF_fdi_credit_debitinc!$A:$C,2,0)),0)/1000000</f>
        <v>17.37236838826</v>
      </c>
      <c r="R92" s="7">
        <f>+IFERROR(VLOOKUP(D92,[2]OECD_COUNTERDI_INCOME!A:B,2,0),0)</f>
        <v>-3.5999999999999997E-2</v>
      </c>
      <c r="S92" s="7">
        <f t="shared" si="22"/>
        <v>17.408368388260001</v>
      </c>
      <c r="T92" s="206"/>
    </row>
    <row r="93" spans="1:22" ht="14.25" customHeight="1" x14ac:dyDescent="0.35">
      <c r="D93" s="1" t="str">
        <f>+IFERROR(IFERROR(VLOOKUP(A93,[7]Sheet1!$A$1:$C$65536,3,0),VLOOKUP(E93,[7]Sheet1!$A$1:$C$65536,3,0)),VLOOKUP(B93,[7]Sheet1!$A$1:$C$65536,3,0))</f>
        <v>DZA</v>
      </c>
      <c r="E93" s="205" t="s">
        <v>128</v>
      </c>
      <c r="F93" s="6">
        <f t="shared" si="20"/>
        <v>0</v>
      </c>
      <c r="G93" s="7">
        <f>+IFERROR(IFERROR(VLOOKUP(D93,[2]IMF_fdi_credit_debitinc!$A:$C,3,0),VLOOKUP(E93,[2]IMF_fdi_credit_debitinc!$A:$C,3,0)),0)/1000000</f>
        <v>0</v>
      </c>
      <c r="H93" s="7">
        <f>+IFERROR(VLOOKUP(D93,[2]OECD_COUNTERDO_INCOME!A:B,2,0),0)</f>
        <v>933.35699999999997</v>
      </c>
      <c r="I93" s="7">
        <f>+VLOOKUP(E93,'[2]CBC- IRS'!A:L,6,0)/1000000</f>
        <v>0.44811385399999998</v>
      </c>
      <c r="J93" s="7">
        <f t="shared" si="21"/>
        <v>-933.35699999999997</v>
      </c>
      <c r="K93" s="8"/>
      <c r="L93" s="7"/>
      <c r="M93" s="7"/>
      <c r="N93" s="7"/>
      <c r="O93" s="7"/>
      <c r="P93" s="6">
        <f t="shared" si="23"/>
        <v>0</v>
      </c>
      <c r="Q93" s="7">
        <f>+IFERROR(IFERROR(VLOOKUP(D93,[2]IMF_fdi_credit_debitinc!$A:$C,2,0),VLOOKUP(O93,[2]IMF_fdi_credit_debitinc!$A:$C,2,0)),0)/1000000</f>
        <v>0</v>
      </c>
      <c r="R93" s="7">
        <f>+IFERROR(VLOOKUP(D93,[2]OECD_COUNTERDI_INCOME!A:B,2,0),0)</f>
        <v>49.366</v>
      </c>
      <c r="S93" s="7">
        <f t="shared" si="22"/>
        <v>-49.366</v>
      </c>
      <c r="T93" s="206"/>
    </row>
    <row r="94" spans="1:22" ht="14.25" customHeight="1" x14ac:dyDescent="0.35">
      <c r="D94" s="1" t="str">
        <f>+IFERROR(IFERROR(VLOOKUP(A94,[7]Sheet1!$A$1:$C$65536,3,0),VLOOKUP(E94,[7]Sheet1!$A$1:$C$65536,3,0)),VLOOKUP(B94,[7]Sheet1!$A$1:$C$65536,3,0))</f>
        <v>AGO</v>
      </c>
      <c r="E94" s="205" t="s">
        <v>129</v>
      </c>
      <c r="F94" s="6">
        <f t="shared" si="20"/>
        <v>0</v>
      </c>
      <c r="G94" s="7">
        <f>+IFERROR(IFERROR(VLOOKUP(D94,[2]IMF_fdi_credit_debitinc!$A:$C,3,0),VLOOKUP(E94,[2]IMF_fdi_credit_debitinc!$A:$C,3,0)),0)/1000000</f>
        <v>0</v>
      </c>
      <c r="H94" s="7">
        <f>+IFERROR(VLOOKUP(D94,[2]OECD_COUNTERDO_INCOME!A:B,2,0),0)</f>
        <v>1026.8779999999999</v>
      </c>
      <c r="I94" s="7">
        <f>+VLOOKUP(E94,'[2]CBC- IRS'!A:L,6,0)/1000000</f>
        <v>0.425690495</v>
      </c>
      <c r="J94" s="7">
        <f t="shared" si="21"/>
        <v>-1026.8779999999999</v>
      </c>
      <c r="K94" s="8"/>
      <c r="L94" s="7"/>
      <c r="M94" s="7"/>
      <c r="N94" s="7"/>
      <c r="O94" s="7"/>
      <c r="P94" s="6">
        <f t="shared" si="23"/>
        <v>0</v>
      </c>
      <c r="Q94" s="7">
        <f>+IFERROR(IFERROR(VLOOKUP(D94,[2]IMF_fdi_credit_debitinc!$A:$C,2,0),VLOOKUP(O94,[2]IMF_fdi_credit_debitinc!$A:$C,2,0)),0)/1000000</f>
        <v>0</v>
      </c>
      <c r="R94" s="7">
        <f>+IFERROR(VLOOKUP(D94,[2]OECD_COUNTERDI_INCOME!A:B,2,0),0)</f>
        <v>1.673</v>
      </c>
      <c r="S94" s="7">
        <f t="shared" si="22"/>
        <v>-1.673</v>
      </c>
      <c r="T94" s="206"/>
    </row>
    <row r="95" spans="1:22" ht="14.25" customHeight="1" x14ac:dyDescent="0.35">
      <c r="D95" s="1" t="str">
        <f>+IFERROR(IFERROR(VLOOKUP(A95,[7]Sheet1!$A$1:$C$65536,3,0),VLOOKUP(E95,[7]Sheet1!$A$1:$C$65536,3,0)),VLOOKUP(B95,[7]Sheet1!$A$1:$C$65536,3,0))</f>
        <v>ARG</v>
      </c>
      <c r="E95" s="205" t="s">
        <v>130</v>
      </c>
      <c r="F95" s="6">
        <f t="shared" si="20"/>
        <v>6671.76</v>
      </c>
      <c r="G95" s="7">
        <f>+IFERROR(IFERROR(VLOOKUP(D95,[2]IMF_fdi_credit_debitinc!$A:$C,3,0),VLOOKUP(E95,[2]IMF_fdi_credit_debitinc!$A:$C,3,0)),0)/1000000</f>
        <v>6671.76</v>
      </c>
      <c r="H95" s="7">
        <f>+IFERROR(VLOOKUP(D95,[2]OECD_COUNTERDO_INCOME!A:B,2,0),0)</f>
        <v>2502.4870000000001</v>
      </c>
      <c r="I95" s="7">
        <f>+VLOOKUP(E95,'[2]CBC- IRS'!A:L,6,0)/1000000</f>
        <v>1.4389812129999999</v>
      </c>
      <c r="J95" s="7">
        <f t="shared" si="21"/>
        <v>4169.2730000000001</v>
      </c>
      <c r="K95" s="8"/>
      <c r="L95" s="7"/>
      <c r="M95" s="7"/>
      <c r="N95" s="7"/>
      <c r="O95" s="7"/>
      <c r="P95" s="6">
        <f t="shared" si="23"/>
        <v>1335.97</v>
      </c>
      <c r="Q95" s="7">
        <f>+IFERROR(IFERROR(VLOOKUP(D95,[2]IMF_fdi_credit_debitinc!$A:$C,2,0),VLOOKUP(O95,[2]IMF_fdi_credit_debitinc!$A:$C,2,0)),0)/1000000</f>
        <v>1335.97</v>
      </c>
      <c r="R95" s="7">
        <f>+IFERROR(VLOOKUP(D95,[2]OECD_COUNTERDI_INCOME!A:B,2,0),0)</f>
        <v>220.00700000000001</v>
      </c>
      <c r="S95" s="7">
        <f t="shared" si="22"/>
        <v>1115.963</v>
      </c>
      <c r="T95" s="206"/>
    </row>
    <row r="96" spans="1:22" ht="14.25" customHeight="1" x14ac:dyDescent="0.35">
      <c r="A96" s="1" t="s">
        <v>131</v>
      </c>
      <c r="B96" s="1" t="s">
        <v>132</v>
      </c>
      <c r="D96" s="1" t="str">
        <f>+IFERROR(IFERROR(VLOOKUP(A96,[7]Sheet1!$A$1:$C$65536,3,0),VLOOKUP(E96,[7]Sheet1!$A$1:$C$65536,3,0)),VLOOKUP(B96,[7]Sheet1!$A$1:$C$65536,3,0))</f>
        <v>ARM</v>
      </c>
      <c r="E96" s="205" t="s">
        <v>133</v>
      </c>
      <c r="F96" s="6">
        <f t="shared" si="20"/>
        <v>195.059</v>
      </c>
      <c r="G96" s="7">
        <f>+IFERROR(IFERROR(VLOOKUP(D96,[2]IMF_fdi_credit_debitinc!$A:$C,3,0),VLOOKUP(E96,[2]IMF_fdi_credit_debitinc!$A:$C,3,0)),0)/1000000</f>
        <v>195.059</v>
      </c>
      <c r="H96" s="7">
        <f>+IFERROR(VLOOKUP(D96,[2]OECD_COUNTERDO_INCOME!A:B,2,0),0)</f>
        <v>18.323</v>
      </c>
      <c r="I96" s="7" t="e">
        <f>+VLOOKUP(E96,'[2]CBC- IRS'!A:L,6,0)/1000000</f>
        <v>#N/A</v>
      </c>
      <c r="J96" s="7">
        <f t="shared" si="21"/>
        <v>176.73599999999999</v>
      </c>
      <c r="K96" s="8"/>
      <c r="L96" s="7"/>
      <c r="M96" s="7"/>
      <c r="N96" s="7"/>
      <c r="O96" s="7"/>
      <c r="P96" s="6">
        <f t="shared" si="23"/>
        <v>11.328432679800001</v>
      </c>
      <c r="Q96" s="7">
        <f>+IFERROR(IFERROR(VLOOKUP(D96,[2]IMF_fdi_credit_debitinc!$A:$C,2,0),VLOOKUP(O96,[2]IMF_fdi_credit_debitinc!$A:$C,2,0)),0)/1000000</f>
        <v>11.328432679800001</v>
      </c>
      <c r="R96" s="7">
        <f>+IFERROR(VLOOKUP(D96,[2]OECD_COUNTERDI_INCOME!A:B,2,0),0)</f>
        <v>5.944</v>
      </c>
      <c r="S96" s="7">
        <f t="shared" si="22"/>
        <v>5.3844326798000006</v>
      </c>
      <c r="T96" s="206"/>
    </row>
    <row r="97" spans="1:20" ht="14.25" customHeight="1" x14ac:dyDescent="0.35">
      <c r="A97" s="1" t="s">
        <v>134</v>
      </c>
      <c r="B97" s="1" t="s">
        <v>135</v>
      </c>
      <c r="D97" s="1" t="str">
        <f>+IFERROR(IFERROR(VLOOKUP(A97,[7]Sheet1!$A$1:$C$65536,3,0),VLOOKUP(E97,[7]Sheet1!$A$1:$C$65536,3,0)),VLOOKUP(B97,[7]Sheet1!$A$1:$C$65536,3,0))</f>
        <v>AZE</v>
      </c>
      <c r="E97" s="205" t="s">
        <v>136</v>
      </c>
      <c r="F97" s="6">
        <f t="shared" si="20"/>
        <v>2600.98</v>
      </c>
      <c r="G97" s="7">
        <f>+IFERROR(IFERROR(VLOOKUP(D97,[2]IMF_fdi_credit_debitinc!$A:$C,3,0),VLOOKUP(E97,[2]IMF_fdi_credit_debitinc!$A:$C,3,0)),0)/1000000</f>
        <v>2600.98</v>
      </c>
      <c r="H97" s="7">
        <f>+IFERROR(VLOOKUP(D97,[2]OECD_COUNTERDO_INCOME!A:B,2,0),0)</f>
        <v>294.73500000000001</v>
      </c>
      <c r="I97" s="7" t="e">
        <f>+VLOOKUP(E97,'[2]CBC- IRS'!A:L,6,0)/1000000</f>
        <v>#N/A</v>
      </c>
      <c r="J97" s="7">
        <f t="shared" si="21"/>
        <v>2306.2449999999999</v>
      </c>
      <c r="K97" s="8"/>
      <c r="L97" s="7"/>
      <c r="M97" s="7"/>
      <c r="N97" s="7"/>
      <c r="O97" s="7"/>
      <c r="P97" s="6">
        <f t="shared" si="23"/>
        <v>438.762</v>
      </c>
      <c r="Q97" s="7">
        <f>+IFERROR(IFERROR(VLOOKUP(D97,[2]IMF_fdi_credit_debitinc!$A:$C,2,0),VLOOKUP(O97,[2]IMF_fdi_credit_debitinc!$A:$C,2,0)),0)/1000000</f>
        <v>438.762</v>
      </c>
      <c r="R97" s="7">
        <f>+IFERROR(VLOOKUP(D97,[2]OECD_COUNTERDI_INCOME!A:B,2,0),0)</f>
        <v>-1.5009999999999999</v>
      </c>
      <c r="S97" s="7">
        <f t="shared" si="22"/>
        <v>440.26299999999998</v>
      </c>
      <c r="T97" s="206"/>
    </row>
    <row r="98" spans="1:20" ht="14.25" customHeight="1" x14ac:dyDescent="0.35">
      <c r="D98" s="1" t="str">
        <f>+IFERROR(IFERROR(VLOOKUP(A98,[7]Sheet1!$A$1:$C$65536,3,0),VLOOKUP(E98,[7]Sheet1!$A$1:$C$65536,3,0)),VLOOKUP(B98,[7]Sheet1!$A$1:$C$65536,3,0))</f>
        <v>BGD</v>
      </c>
      <c r="E98" s="205" t="s">
        <v>137</v>
      </c>
      <c r="F98" s="6">
        <f t="shared" si="20"/>
        <v>1690.93</v>
      </c>
      <c r="G98" s="7">
        <f>+IFERROR(IFERROR(VLOOKUP(D98,[2]IMF_fdi_credit_debitinc!$A:$C,3,0),VLOOKUP(E98,[2]IMF_fdi_credit_debitinc!$A:$C,3,0)),0)/1000000</f>
        <v>1690.93</v>
      </c>
      <c r="H98" s="7">
        <f>+IFERROR(VLOOKUP(D98,[2]OECD_COUNTERDO_INCOME!A:B,2,0),0)</f>
        <v>362.24099999999999</v>
      </c>
      <c r="I98" s="7">
        <f>+VLOOKUP(E98,'[2]CBC- IRS'!A:L,6,0)/1000000</f>
        <v>0.50777409600000001</v>
      </c>
      <c r="J98" s="7">
        <f t="shared" si="21"/>
        <v>1328.6890000000001</v>
      </c>
      <c r="K98" s="8"/>
      <c r="L98" s="7"/>
      <c r="M98" s="7"/>
      <c r="N98" s="7"/>
      <c r="O98" s="7"/>
      <c r="P98" s="6">
        <f t="shared" si="23"/>
        <v>7.9986393416600006</v>
      </c>
      <c r="Q98" s="7">
        <f>+IFERROR(IFERROR(VLOOKUP(D98,[2]IMF_fdi_credit_debitinc!$A:$C,2,0),VLOOKUP(O98,[2]IMF_fdi_credit_debitinc!$A:$C,2,0)),0)/1000000</f>
        <v>7.9986393416600006</v>
      </c>
      <c r="R98" s="7">
        <f>+IFERROR(VLOOKUP(D98,[2]OECD_COUNTERDI_INCOME!A:B,2,0),0)</f>
        <v>19.704000000000001</v>
      </c>
      <c r="S98" s="7">
        <f t="shared" si="22"/>
        <v>-11.70536065834</v>
      </c>
      <c r="T98" s="206"/>
    </row>
    <row r="99" spans="1:20" ht="14.25" customHeight="1" x14ac:dyDescent="0.35">
      <c r="D99" s="1" t="str">
        <f>+IFERROR(IFERROR(VLOOKUP(A99,[7]Sheet1!$A$1:$C$65536,3,0),VLOOKUP(E99,[7]Sheet1!$A$1:$C$65536,3,0)),VLOOKUP(B99,[7]Sheet1!$A$1:$C$65536,3,0))</f>
        <v>BLR</v>
      </c>
      <c r="E99" s="205" t="s">
        <v>138</v>
      </c>
      <c r="F99" s="6">
        <f t="shared" si="20"/>
        <v>1779.9</v>
      </c>
      <c r="G99" s="7">
        <f>+IFERROR(IFERROR(VLOOKUP(D99,[2]IMF_fdi_credit_debitinc!$A:$C,3,0),VLOOKUP(E99,[2]IMF_fdi_credit_debitinc!$A:$C,3,0)),0)/1000000</f>
        <v>1779.9</v>
      </c>
      <c r="H99" s="7">
        <f>+IFERROR(VLOOKUP(D99,[2]OECD_COUNTERDO_INCOME!A:B,2,0),0)</f>
        <v>140.06200000000001</v>
      </c>
      <c r="I99" s="7">
        <f>+VLOOKUP(E99,'[2]CBC- IRS'!A:L,6,0)/1000000</f>
        <v>3.0776223999999998E-2</v>
      </c>
      <c r="J99" s="7">
        <f t="shared" si="21"/>
        <v>1639.8380000000002</v>
      </c>
      <c r="K99" s="8"/>
      <c r="L99" s="7"/>
      <c r="M99" s="7"/>
      <c r="N99" s="7"/>
      <c r="O99" s="7"/>
      <c r="P99" s="6">
        <f t="shared" si="23"/>
        <v>81.3</v>
      </c>
      <c r="Q99" s="7">
        <f>+IFERROR(IFERROR(VLOOKUP(D99,[2]IMF_fdi_credit_debitinc!$A:$C,2,0),VLOOKUP(O99,[2]IMF_fdi_credit_debitinc!$A:$C,2,0)),0)/1000000</f>
        <v>81.3</v>
      </c>
      <c r="R99" s="7">
        <f>+IFERROR(VLOOKUP(D99,[2]OECD_COUNTERDI_INCOME!A:B,2,0),0)</f>
        <v>64.691000000000003</v>
      </c>
      <c r="S99" s="7">
        <f t="shared" si="22"/>
        <v>16.608999999999995</v>
      </c>
      <c r="T99" s="206"/>
    </row>
    <row r="100" spans="1:20" ht="14.25" customHeight="1" x14ac:dyDescent="0.35">
      <c r="D100" s="1" t="str">
        <f>+IFERROR(IFERROR(VLOOKUP(A100,[7]Sheet1!$A$1:$C$65536,3,0),VLOOKUP(E100,[7]Sheet1!$A$1:$C$65536,3,0)),VLOOKUP(B100,[7]Sheet1!$A$1:$C$65536,3,0))</f>
        <v>BLZ</v>
      </c>
      <c r="E100" s="205" t="s">
        <v>87</v>
      </c>
      <c r="F100" s="6">
        <f t="shared" si="20"/>
        <v>0</v>
      </c>
      <c r="G100" s="7">
        <f>+IFERROR(IFERROR(VLOOKUP(D100,[2]IMF_fdi_credit_debitinc!$A:$C,3,0),VLOOKUP(E100,[2]IMF_fdi_credit_debitinc!$A:$C,3,0)),0)/1000000</f>
        <v>0</v>
      </c>
      <c r="H100" s="7">
        <f>+IFERROR(VLOOKUP(D100,[2]OECD_COUNTERDO_INCOME!A:B,2,0),0)</f>
        <v>12.599</v>
      </c>
      <c r="I100" s="7" t="e">
        <f>+VLOOKUP(E100,'[2]CBC- IRS'!A:L,6,0)/1000000</f>
        <v>#N/A</v>
      </c>
      <c r="J100" s="7">
        <f t="shared" si="21"/>
        <v>-12.599</v>
      </c>
      <c r="K100" s="8"/>
      <c r="L100" s="7"/>
      <c r="M100" s="7"/>
      <c r="N100" s="7"/>
      <c r="O100" s="7"/>
      <c r="P100" s="6">
        <f t="shared" si="23"/>
        <v>0</v>
      </c>
      <c r="Q100" s="7">
        <f>+IFERROR(IFERROR(VLOOKUP(D100,[2]IMF_fdi_credit_debitinc!$A:$C,2,0),VLOOKUP(O100,[2]IMF_fdi_credit_debitinc!$A:$C,2,0)),0)/1000000</f>
        <v>0</v>
      </c>
      <c r="R100" s="7">
        <f>+IFERROR(VLOOKUP(D100,[2]OECD_COUNTERDI_INCOME!A:B,2,0),0)</f>
        <v>-2.556</v>
      </c>
      <c r="S100" s="7">
        <f t="shared" si="22"/>
        <v>2.556</v>
      </c>
      <c r="T100" s="206"/>
    </row>
    <row r="101" spans="1:20" ht="14.25" customHeight="1" x14ac:dyDescent="0.35">
      <c r="D101" s="1" t="str">
        <f>+IFERROR(IFERROR(VLOOKUP(A101,[7]Sheet1!$A$1:$C$65536,3,0),VLOOKUP(E101,[7]Sheet1!$A$1:$C$65536,3,0)),VLOOKUP(B101,[7]Sheet1!$A$1:$C$65536,3,0))</f>
        <v>BEN</v>
      </c>
      <c r="E101" s="205" t="s">
        <v>139</v>
      </c>
      <c r="F101" s="6">
        <f t="shared" si="20"/>
        <v>0</v>
      </c>
      <c r="G101" s="7">
        <f>+IFERROR(IFERROR(VLOOKUP(D101,[2]IMF_fdi_credit_debitinc!$A:$C,3,0),VLOOKUP(E101,[2]IMF_fdi_credit_debitinc!$A:$C,3,0)),0)/1000000</f>
        <v>0</v>
      </c>
      <c r="H101" s="7">
        <f>+IFERROR(VLOOKUP(D101,[2]OECD_COUNTERDO_INCOME!A:B,2,0),0)</f>
        <v>12.048999999999999</v>
      </c>
      <c r="I101" s="7" t="e">
        <f>+VLOOKUP(E101,'[2]CBC- IRS'!A:L,6,0)/1000000</f>
        <v>#N/A</v>
      </c>
      <c r="J101" s="7">
        <f t="shared" si="21"/>
        <v>-12.048999999999999</v>
      </c>
      <c r="K101" s="8"/>
      <c r="L101" s="7"/>
      <c r="M101" s="7"/>
      <c r="N101" s="7"/>
      <c r="O101" s="7"/>
      <c r="P101" s="6">
        <f t="shared" si="23"/>
        <v>0</v>
      </c>
      <c r="Q101" s="7">
        <f>+IFERROR(IFERROR(VLOOKUP(D101,[2]IMF_fdi_credit_debitinc!$A:$C,2,0),VLOOKUP(O101,[2]IMF_fdi_credit_debitinc!$A:$C,2,0)),0)/1000000</f>
        <v>0</v>
      </c>
      <c r="R101" s="7">
        <f>+IFERROR(VLOOKUP(D101,[2]OECD_COUNTERDI_INCOME!A:B,2,0),0)</f>
        <v>0</v>
      </c>
      <c r="S101" s="7">
        <f t="shared" si="22"/>
        <v>0</v>
      </c>
      <c r="T101" s="206"/>
    </row>
    <row r="102" spans="1:20" ht="14.25" customHeight="1" x14ac:dyDescent="0.35">
      <c r="D102" s="1" t="str">
        <f>+IFERROR(IFERROR(VLOOKUP(A102,[7]Sheet1!$A$1:$C$65536,3,0),VLOOKUP(E102,[7]Sheet1!$A$1:$C$65536,3,0)),VLOOKUP(B102,[7]Sheet1!$A$1:$C$65536,3,0))</f>
        <v>BTN</v>
      </c>
      <c r="E102" s="205" t="s">
        <v>140</v>
      </c>
      <c r="F102" s="6">
        <f t="shared" si="20"/>
        <v>0</v>
      </c>
      <c r="G102" s="7">
        <f>+IFERROR(IFERROR(VLOOKUP(D102,[2]IMF_fdi_credit_debitinc!$A:$C,3,0),VLOOKUP(E102,[2]IMF_fdi_credit_debitinc!$A:$C,3,0)),0)/1000000</f>
        <v>0</v>
      </c>
      <c r="H102" s="7">
        <f>+IFERROR(VLOOKUP(D102,[2]OECD_COUNTERDO_INCOME!A:B,2,0),0)</f>
        <v>0</v>
      </c>
      <c r="I102" s="7" t="e">
        <f>+VLOOKUP(E102,'[2]CBC- IRS'!A:L,6,0)/1000000</f>
        <v>#N/A</v>
      </c>
      <c r="J102" s="7">
        <f t="shared" si="21"/>
        <v>0</v>
      </c>
      <c r="K102" s="8"/>
      <c r="L102" s="7"/>
      <c r="M102" s="7"/>
      <c r="N102" s="7"/>
      <c r="O102" s="7"/>
      <c r="P102" s="6">
        <f t="shared" si="23"/>
        <v>0</v>
      </c>
      <c r="Q102" s="7">
        <f>+IFERROR(IFERROR(VLOOKUP(D102,[2]IMF_fdi_credit_debitinc!$A:$C,2,0),VLOOKUP(O102,[2]IMF_fdi_credit_debitinc!$A:$C,2,0)),0)/1000000</f>
        <v>0</v>
      </c>
      <c r="R102" s="7">
        <f>+IFERROR(VLOOKUP(D102,[2]OECD_COUNTERDI_INCOME!A:B,2,0),0)</f>
        <v>2E-3</v>
      </c>
      <c r="S102" s="7">
        <f t="shared" si="22"/>
        <v>-2E-3</v>
      </c>
      <c r="T102" s="206"/>
    </row>
    <row r="103" spans="1:20" ht="14.25" customHeight="1" x14ac:dyDescent="0.35">
      <c r="A103" s="1" t="s">
        <v>141</v>
      </c>
      <c r="B103" s="1" t="s">
        <v>142</v>
      </c>
      <c r="D103" s="1" t="str">
        <f>+IFERROR(IFERROR(VLOOKUP(A103,[7]Sheet1!$A$1:$C$65536,3,0),VLOOKUP(E103,[7]Sheet1!$A$1:$C$65536,3,0)),VLOOKUP(B103,[7]Sheet1!$A$1:$C$65536,3,0))</f>
        <v>BOL</v>
      </c>
      <c r="E103" s="205" t="s">
        <v>141</v>
      </c>
      <c r="F103" s="6">
        <f t="shared" si="20"/>
        <v>559.93200000000002</v>
      </c>
      <c r="G103" s="7">
        <f>+IFERROR(IFERROR(VLOOKUP(D103,[2]IMF_fdi_credit_debitinc!$A:$C,3,0),VLOOKUP(E103,[2]IMF_fdi_credit_debitinc!$A:$C,3,0)),0)/1000000</f>
        <v>559.93200000000002</v>
      </c>
      <c r="H103" s="7">
        <f>+IFERROR(VLOOKUP(D103,[2]OECD_COUNTERDO_INCOME!A:B,2,0),0)</f>
        <v>513.32500000000005</v>
      </c>
      <c r="I103" s="7">
        <f>+VLOOKUP(E103,'[2]CBC- IRS'!A:L,6,0)/1000000</f>
        <v>-2.0301975E-2</v>
      </c>
      <c r="J103" s="7">
        <f t="shared" si="21"/>
        <v>46.606999999999971</v>
      </c>
      <c r="K103" s="8"/>
      <c r="L103" s="7"/>
      <c r="M103" s="7"/>
      <c r="N103" s="7"/>
      <c r="O103" s="7"/>
      <c r="P103" s="6">
        <f t="shared" si="23"/>
        <v>-0.15096288961000001</v>
      </c>
      <c r="Q103" s="7">
        <f>+IFERROR(IFERROR(VLOOKUP(D103,[2]IMF_fdi_credit_debitinc!$A:$C,2,0),VLOOKUP(O103,[2]IMF_fdi_credit_debitinc!$A:$C,2,0)),0)/1000000</f>
        <v>-0.15096288961000001</v>
      </c>
      <c r="R103" s="7">
        <f>+IFERROR(VLOOKUP(D103,[2]OECD_COUNTERDI_INCOME!A:B,2,0),0)</f>
        <v>19.21</v>
      </c>
      <c r="S103" s="7">
        <f t="shared" si="22"/>
        <v>-19.360962889610001</v>
      </c>
      <c r="T103" s="206"/>
    </row>
    <row r="104" spans="1:20" ht="14.25" customHeight="1" x14ac:dyDescent="0.35">
      <c r="A104" s="1" t="s">
        <v>143</v>
      </c>
      <c r="B104" s="1" t="s">
        <v>144</v>
      </c>
      <c r="D104" s="1" t="str">
        <f>+IFERROR(IFERROR(VLOOKUP(A104,[7]Sheet1!$A$1:$C$65536,3,0),VLOOKUP(E104,[7]Sheet1!$A$1:$C$65536,3,0)),VLOOKUP(B104,[7]Sheet1!$A$1:$C$65536,3,0))</f>
        <v>BIH</v>
      </c>
      <c r="E104" s="205" t="s">
        <v>143</v>
      </c>
      <c r="F104" s="6">
        <f t="shared" si="20"/>
        <v>512.18299999999999</v>
      </c>
      <c r="G104" s="7">
        <f>+IFERROR(IFERROR(VLOOKUP(D104,[2]IMF_fdi_credit_debitinc!$A:$C,3,0),VLOOKUP(E104,[2]IMF_fdi_credit_debitinc!$A:$C,3,0)),0)/1000000</f>
        <v>512.18299999999999</v>
      </c>
      <c r="H104" s="7">
        <f>+IFERROR(VLOOKUP(D104,[2]OECD_COUNTERDO_INCOME!A:B,2,0),0)</f>
        <v>95.122</v>
      </c>
      <c r="I104" s="7" t="e">
        <f>+VLOOKUP(E104,'[2]CBC- IRS'!A:L,6,0)/1000000</f>
        <v>#N/A</v>
      </c>
      <c r="J104" s="7">
        <f t="shared" si="21"/>
        <v>417.06099999999998</v>
      </c>
      <c r="K104" s="8"/>
      <c r="L104" s="7"/>
      <c r="M104" s="7"/>
      <c r="N104" s="7"/>
      <c r="O104" s="7"/>
      <c r="P104" s="6">
        <f t="shared" si="23"/>
        <v>4.6853659669199992</v>
      </c>
      <c r="Q104" s="7">
        <f>+IFERROR(IFERROR(VLOOKUP(D104,[2]IMF_fdi_credit_debitinc!$A:$C,2,0),VLOOKUP(O104,[2]IMF_fdi_credit_debitinc!$A:$C,2,0)),0)/1000000</f>
        <v>4.6853659669199992</v>
      </c>
      <c r="R104" s="7">
        <f>+IFERROR(VLOOKUP(D104,[2]OECD_COUNTERDI_INCOME!A:B,2,0),0)</f>
        <v>14.712999999999999</v>
      </c>
      <c r="S104" s="7">
        <f t="shared" si="22"/>
        <v>-10.02763403308</v>
      </c>
      <c r="T104" s="206"/>
    </row>
    <row r="105" spans="1:20" ht="14.25" customHeight="1" x14ac:dyDescent="0.35">
      <c r="D105" s="1" t="str">
        <f>+IFERROR(IFERROR(VLOOKUP(A105,[7]Sheet1!$A$1:$C$65536,3,0),VLOOKUP(E105,[7]Sheet1!$A$1:$C$65536,3,0)),VLOOKUP(B105,[7]Sheet1!$A$1:$C$65536,3,0))</f>
        <v>BWA</v>
      </c>
      <c r="E105" s="205" t="s">
        <v>145</v>
      </c>
      <c r="F105" s="6">
        <f t="shared" si="20"/>
        <v>0</v>
      </c>
      <c r="G105" s="7">
        <f>+IFERROR(IFERROR(VLOOKUP(D105,[2]IMF_fdi_credit_debitinc!$A:$C,3,0),VLOOKUP(E105,[2]IMF_fdi_credit_debitinc!$A:$C,3,0)),0)/1000000</f>
        <v>0</v>
      </c>
      <c r="H105" s="7">
        <f>+IFERROR(VLOOKUP(D105,[2]OECD_COUNTERDO_INCOME!A:B,2,0),0)</f>
        <v>25.486999999999998</v>
      </c>
      <c r="I105" s="7">
        <f>+VLOOKUP(E105,'[2]CBC- IRS'!A:L,6,0)/1000000</f>
        <v>2.6608272000000002E-2</v>
      </c>
      <c r="J105" s="7">
        <f t="shared" si="21"/>
        <v>-25.486999999999998</v>
      </c>
      <c r="K105" s="8"/>
      <c r="L105" s="7"/>
      <c r="M105" s="7"/>
      <c r="N105" s="7"/>
      <c r="O105" s="7"/>
      <c r="P105" s="6">
        <f t="shared" si="23"/>
        <v>0</v>
      </c>
      <c r="Q105" s="7">
        <f>+IFERROR(IFERROR(VLOOKUP(D105,[2]IMF_fdi_credit_debitinc!$A:$C,2,0),VLOOKUP(O105,[2]IMF_fdi_credit_debitinc!$A:$C,2,0)),0)/1000000</f>
        <v>0</v>
      </c>
      <c r="R105" s="7">
        <f>+IFERROR(VLOOKUP(D105,[2]OECD_COUNTERDI_INCOME!A:B,2,0),0)</f>
        <v>9.7289999999999992</v>
      </c>
      <c r="S105" s="7">
        <f t="shared" si="22"/>
        <v>-9.7289999999999992</v>
      </c>
      <c r="T105" s="206"/>
    </row>
    <row r="106" spans="1:20" ht="14.25" customHeight="1" x14ac:dyDescent="0.35">
      <c r="B106" s="1" t="s">
        <v>146</v>
      </c>
      <c r="D106" s="1" t="str">
        <f>+IFERROR(IFERROR(VLOOKUP(A106,[7]Sheet1!$A$1:$C$65536,3,0),VLOOKUP(E106,[7]Sheet1!$A$1:$C$65536,3,0)),VLOOKUP(B106,[7]Sheet1!$A$1:$C$65536,3,0))</f>
        <v>BRN</v>
      </c>
      <c r="E106" s="205" t="s">
        <v>147</v>
      </c>
      <c r="F106" s="6">
        <f t="shared" si="20"/>
        <v>0</v>
      </c>
      <c r="G106" s="7">
        <f>+IFERROR(IFERROR(VLOOKUP(D106,[2]IMF_fdi_credit_debitinc!$A:$C,3,0),VLOOKUP(E106,[2]IMF_fdi_credit_debitinc!$A:$C,3,0)),0)/1000000</f>
        <v>0</v>
      </c>
      <c r="H106" s="7">
        <f>+IFERROR(VLOOKUP(D106,[2]OECD_COUNTERDO_INCOME!A:B,2,0),0)</f>
        <v>8.4250000000000007</v>
      </c>
      <c r="I106" s="7" t="e">
        <f>+VLOOKUP(E106,'[2]CBC- IRS'!A:L,6,0)/1000000</f>
        <v>#N/A</v>
      </c>
      <c r="J106" s="7">
        <f t="shared" si="21"/>
        <v>-8.4250000000000007</v>
      </c>
      <c r="K106" s="8"/>
      <c r="L106" s="7"/>
      <c r="M106" s="7"/>
      <c r="N106" s="7"/>
      <c r="O106" s="7"/>
      <c r="P106" s="6">
        <f t="shared" si="23"/>
        <v>0</v>
      </c>
      <c r="Q106" s="7">
        <f>+IFERROR(IFERROR(VLOOKUP(D106,[2]IMF_fdi_credit_debitinc!$A:$C,2,0),VLOOKUP(O106,[2]IMF_fdi_credit_debitinc!$A:$C,2,0)),0)/1000000</f>
        <v>0</v>
      </c>
      <c r="R106" s="7">
        <f>+IFERROR(VLOOKUP(D106,[2]OECD_COUNTERDI_INCOME!A:B,2,0),0)</f>
        <v>146.45099999999999</v>
      </c>
      <c r="S106" s="7">
        <f t="shared" si="22"/>
        <v>-146.45099999999999</v>
      </c>
      <c r="T106" s="206"/>
    </row>
    <row r="107" spans="1:20" ht="14.25" customHeight="1" x14ac:dyDescent="0.35">
      <c r="D107" s="1" t="str">
        <f>+IFERROR(IFERROR(VLOOKUP(A107,[7]Sheet1!$A$1:$C$65536,3,0),VLOOKUP(E107,[7]Sheet1!$A$1:$C$65536,3,0)),VLOOKUP(B107,[7]Sheet1!$A$1:$C$65536,3,0))</f>
        <v>BGR</v>
      </c>
      <c r="E107" s="205" t="s">
        <v>148</v>
      </c>
      <c r="F107" s="6">
        <f t="shared" si="20"/>
        <v>2771.28</v>
      </c>
      <c r="G107" s="7">
        <f>+IFERROR(IFERROR(VLOOKUP(D107,[2]IMF_fdi_credit_debitinc!$A:$C,3,0),VLOOKUP(E107,[2]IMF_fdi_credit_debitinc!$A:$C,3,0)),0)/1000000</f>
        <v>2771.28</v>
      </c>
      <c r="H107" s="7">
        <f>+IFERROR(VLOOKUP(D107,[2]OECD_COUNTERDO_INCOME!A:B,2,0),0)</f>
        <v>1606.6210000000001</v>
      </c>
      <c r="I107" s="7">
        <f>+VLOOKUP(E107,'[2]CBC- IRS'!A:L,6,0)/1000000</f>
        <v>0.175728468</v>
      </c>
      <c r="J107" s="7">
        <f t="shared" si="21"/>
        <v>1164.6590000000001</v>
      </c>
      <c r="K107" s="8"/>
      <c r="L107" s="7"/>
      <c r="M107" s="7"/>
      <c r="N107" s="7"/>
      <c r="O107" s="7"/>
      <c r="P107" s="6">
        <f t="shared" si="23"/>
        <v>137.97</v>
      </c>
      <c r="Q107" s="7">
        <f>+IFERROR(IFERROR(VLOOKUP(D107,[2]IMF_fdi_credit_debitinc!$A:$C,2,0),VLOOKUP(O107,[2]IMF_fdi_credit_debitinc!$A:$C,2,0)),0)/1000000</f>
        <v>137.97</v>
      </c>
      <c r="R107" s="7">
        <f>+IFERROR(VLOOKUP(D107,[2]OECD_COUNTERDI_INCOME!A:B,2,0),0)</f>
        <v>125.69199999999999</v>
      </c>
      <c r="S107" s="7">
        <f t="shared" si="22"/>
        <v>12.278000000000006</v>
      </c>
      <c r="T107" s="206"/>
    </row>
    <row r="108" spans="1:20" ht="14.25" customHeight="1" x14ac:dyDescent="0.35">
      <c r="A108" s="1" t="s">
        <v>149</v>
      </c>
      <c r="B108" s="1" t="s">
        <v>150</v>
      </c>
      <c r="D108" s="1" t="str">
        <f>+IFERROR(IFERROR(VLOOKUP(A108,[7]Sheet1!$A$1:$C$65536,3,0),VLOOKUP(E108,[7]Sheet1!$A$1:$C$65536,3,0)),VLOOKUP(B108,[7]Sheet1!$A$1:$C$65536,3,0))</f>
        <v>BFA</v>
      </c>
      <c r="E108" s="205" t="s">
        <v>149</v>
      </c>
      <c r="F108" s="6">
        <f t="shared" si="20"/>
        <v>0</v>
      </c>
      <c r="G108" s="7">
        <f>+IFERROR(IFERROR(VLOOKUP(D108,[2]IMF_fdi_credit_debitinc!$A:$C,3,0),VLOOKUP(E108,[2]IMF_fdi_credit_debitinc!$A:$C,3,0)),0)/1000000</f>
        <v>0</v>
      </c>
      <c r="H108" s="7">
        <f>+IFERROR(VLOOKUP(D108,[2]OECD_COUNTERDO_INCOME!A:B,2,0),0)</f>
        <v>1.4039999999999999</v>
      </c>
      <c r="I108" s="7" t="e">
        <f>+VLOOKUP(E108,'[2]CBC- IRS'!A:L,6,0)/1000000</f>
        <v>#N/A</v>
      </c>
      <c r="J108" s="7">
        <f t="shared" si="21"/>
        <v>-1.4039999999999999</v>
      </c>
      <c r="K108" s="8"/>
      <c r="L108" s="7"/>
      <c r="M108" s="7"/>
      <c r="N108" s="7"/>
      <c r="O108" s="7"/>
      <c r="P108" s="6">
        <f t="shared" si="23"/>
        <v>0</v>
      </c>
      <c r="Q108" s="7">
        <f>+IFERROR(IFERROR(VLOOKUP(D108,[2]IMF_fdi_credit_debitinc!$A:$C,2,0),VLOOKUP(O108,[2]IMF_fdi_credit_debitinc!$A:$C,2,0)),0)/1000000</f>
        <v>0</v>
      </c>
      <c r="R108" s="7">
        <f>+IFERROR(VLOOKUP(D108,[2]OECD_COUNTERDI_INCOME!A:B,2,0),0)</f>
        <v>0</v>
      </c>
      <c r="S108" s="7">
        <f t="shared" si="22"/>
        <v>0</v>
      </c>
      <c r="T108" s="206"/>
    </row>
    <row r="109" spans="1:20" ht="14.25" customHeight="1" x14ac:dyDescent="0.35">
      <c r="D109" s="1" t="str">
        <f>+IFERROR(IFERROR(VLOOKUP(A109,[7]Sheet1!$A$1:$C$65536,3,0),VLOOKUP(E109,[7]Sheet1!$A$1:$C$65536,3,0)),VLOOKUP(B109,[7]Sheet1!$A$1:$C$65536,3,0))</f>
        <v>BDI</v>
      </c>
      <c r="E109" s="205" t="s">
        <v>151</v>
      </c>
      <c r="F109" s="6">
        <f t="shared" si="20"/>
        <v>0</v>
      </c>
      <c r="G109" s="7">
        <f>+IFERROR(IFERROR(VLOOKUP(D109,[2]IMF_fdi_credit_debitinc!$A:$C,3,0),VLOOKUP(E109,[2]IMF_fdi_credit_debitinc!$A:$C,3,0)),0)/1000000</f>
        <v>0</v>
      </c>
      <c r="H109" s="7">
        <f>+IFERROR(VLOOKUP(D109,[2]OECD_COUNTERDO_INCOME!A:B,2,0),0)</f>
        <v>13.433</v>
      </c>
      <c r="I109" s="7" t="e">
        <f>+VLOOKUP(E109,'[2]CBC- IRS'!A:L,6,0)/1000000</f>
        <v>#N/A</v>
      </c>
      <c r="J109" s="7">
        <f t="shared" si="21"/>
        <v>-13.433</v>
      </c>
      <c r="K109" s="8"/>
      <c r="L109" s="7"/>
      <c r="M109" s="7"/>
      <c r="N109" s="7"/>
      <c r="O109" s="7"/>
      <c r="P109" s="6">
        <f t="shared" si="23"/>
        <v>0</v>
      </c>
      <c r="Q109" s="7">
        <f>+IFERROR(IFERROR(VLOOKUP(D109,[2]IMF_fdi_credit_debitinc!$A:$C,2,0),VLOOKUP(O109,[2]IMF_fdi_credit_debitinc!$A:$C,2,0)),0)/1000000</f>
        <v>0</v>
      </c>
      <c r="R109" s="7">
        <f>+IFERROR(VLOOKUP(D109,[2]OECD_COUNTERDI_INCOME!A:B,2,0),0)</f>
        <v>0</v>
      </c>
      <c r="S109" s="7">
        <f t="shared" si="22"/>
        <v>0</v>
      </c>
      <c r="T109" s="206"/>
    </row>
    <row r="110" spans="1:20" ht="14.25" customHeight="1" x14ac:dyDescent="0.35">
      <c r="A110" s="1" t="s">
        <v>152</v>
      </c>
      <c r="B110" s="1" t="s">
        <v>153</v>
      </c>
      <c r="D110" s="1" t="str">
        <f>+IFERROR(IFERROR(VLOOKUP(A110,[7]Sheet1!$A$1:$C$65536,3,0),VLOOKUP(E110,[7]Sheet1!$A$1:$C$65536,3,0)),VLOOKUP(B110,[7]Sheet1!$A$1:$C$65536,3,0))</f>
        <v>KHM</v>
      </c>
      <c r="E110" s="205" t="s">
        <v>152</v>
      </c>
      <c r="F110" s="6">
        <f t="shared" si="20"/>
        <v>0</v>
      </c>
      <c r="G110" s="7">
        <f>+IFERROR(IFERROR(VLOOKUP(D110,[2]IMF_fdi_credit_debitinc!$A:$C,3,0),VLOOKUP(E110,[2]IMF_fdi_credit_debitinc!$A:$C,3,0)),0)/1000000</f>
        <v>0</v>
      </c>
      <c r="H110" s="7">
        <f>+IFERROR(VLOOKUP(D110,[2]OECD_COUNTERDO_INCOME!A:B,2,0),0)</f>
        <v>-37.283999999999999</v>
      </c>
      <c r="I110" s="7">
        <f>+VLOOKUP(E110,'[2]CBC- IRS'!A:L,6,0)/1000000</f>
        <v>5.9366313000000004E-2</v>
      </c>
      <c r="J110" s="7">
        <f t="shared" si="21"/>
        <v>37.283999999999999</v>
      </c>
      <c r="K110" s="8"/>
      <c r="L110" s="7"/>
      <c r="M110" s="7"/>
      <c r="N110" s="7"/>
      <c r="O110" s="7"/>
      <c r="P110" s="6">
        <f t="shared" si="23"/>
        <v>0</v>
      </c>
      <c r="Q110" s="7">
        <f>+IFERROR(IFERROR(VLOOKUP(D110,[2]IMF_fdi_credit_debitinc!$A:$C,2,0),VLOOKUP(O110,[2]IMF_fdi_credit_debitinc!$A:$C,2,0)),0)/1000000</f>
        <v>0</v>
      </c>
      <c r="R110" s="7">
        <f>+IFERROR(VLOOKUP(D110,[2]OECD_COUNTERDI_INCOME!A:B,2,0),0)</f>
        <v>4.0000000000000001E-3</v>
      </c>
      <c r="S110" s="7">
        <f t="shared" si="22"/>
        <v>-4.0000000000000001E-3</v>
      </c>
      <c r="T110" s="206"/>
    </row>
    <row r="111" spans="1:20" ht="14.25" customHeight="1" x14ac:dyDescent="0.35">
      <c r="D111" s="1" t="str">
        <f>+IFERROR(IFERROR(VLOOKUP(A111,[7]Sheet1!$A$1:$C$65536,3,0),VLOOKUP(E111,[7]Sheet1!$A$1:$C$65536,3,0)),VLOOKUP(B111,[7]Sheet1!$A$1:$C$65536,3,0))</f>
        <v>CMR</v>
      </c>
      <c r="E111" s="205" t="s">
        <v>154</v>
      </c>
      <c r="F111" s="6">
        <f t="shared" si="20"/>
        <v>0</v>
      </c>
      <c r="G111" s="7">
        <f>+IFERROR(IFERROR(VLOOKUP(D111,[2]IMF_fdi_credit_debitinc!$A:$C,3,0),VLOOKUP(E111,[2]IMF_fdi_credit_debitinc!$A:$C,3,0)),0)/1000000</f>
        <v>0</v>
      </c>
      <c r="H111" s="7">
        <f>+IFERROR(VLOOKUP(D111,[2]OECD_COUNTERDO_INCOME!A:B,2,0),0)</f>
        <v>38.688000000000002</v>
      </c>
      <c r="I111" s="7">
        <f>+VLOOKUP(E111,'[2]CBC- IRS'!A:L,6,0)/1000000</f>
        <v>3.8962838000000007E-2</v>
      </c>
      <c r="J111" s="7">
        <f t="shared" si="21"/>
        <v>-38.688000000000002</v>
      </c>
      <c r="K111" s="8"/>
      <c r="L111" s="7"/>
      <c r="M111" s="7"/>
      <c r="N111" s="7"/>
      <c r="O111" s="7"/>
      <c r="P111" s="6">
        <f t="shared" si="23"/>
        <v>0</v>
      </c>
      <c r="Q111" s="7">
        <f>+IFERROR(IFERROR(VLOOKUP(D111,[2]IMF_fdi_credit_debitinc!$A:$C,2,0),VLOOKUP(O111,[2]IMF_fdi_credit_debitinc!$A:$C,2,0)),0)/1000000</f>
        <v>0</v>
      </c>
      <c r="R111" s="7">
        <f>+IFERROR(VLOOKUP(D111,[2]OECD_COUNTERDI_INCOME!A:B,2,0),0)</f>
        <v>-19.027999999999999</v>
      </c>
      <c r="S111" s="7">
        <f t="shared" si="22"/>
        <v>19.027999999999999</v>
      </c>
      <c r="T111" s="206"/>
    </row>
    <row r="112" spans="1:20" ht="14.25" customHeight="1" x14ac:dyDescent="0.35">
      <c r="D112" s="1" t="s">
        <v>301</v>
      </c>
      <c r="E112" s="205" t="s">
        <v>155</v>
      </c>
      <c r="F112" s="6">
        <f t="shared" si="20"/>
        <v>25.48220519334</v>
      </c>
      <c r="G112" s="7">
        <f>+IFERROR(IFERROR(VLOOKUP(D112,[2]IMF_fdi_credit_debitinc!$A:$C,3,0),VLOOKUP(E112,[2]IMF_fdi_credit_debitinc!$A:$C,3,0)),0)/1000000</f>
        <v>25.48220519334</v>
      </c>
      <c r="H112" s="7">
        <f>+IFERROR(VLOOKUP(D112,[2]OECD_COUNTERDO_INCOME!A:B,2,0),0)</f>
        <v>38.944000000000003</v>
      </c>
      <c r="I112" s="7" t="e">
        <f>+VLOOKUP(E112,'[2]CBC- IRS'!A:L,6,0)/1000000</f>
        <v>#N/A</v>
      </c>
      <c r="J112" s="7">
        <f t="shared" si="21"/>
        <v>-13.461794806660002</v>
      </c>
      <c r="K112" s="8"/>
      <c r="L112" s="7"/>
      <c r="M112" s="7"/>
      <c r="N112" s="7"/>
      <c r="O112" s="7"/>
      <c r="P112" s="6">
        <f t="shared" si="23"/>
        <v>1.03943927627</v>
      </c>
      <c r="Q112" s="7">
        <f>+IFERROR(IFERROR(VLOOKUP(D112,[2]IMF_fdi_credit_debitinc!$A:$C,2,0),VLOOKUP(O112,[2]IMF_fdi_credit_debitinc!$A:$C,2,0)),0)/1000000</f>
        <v>1.03943927627</v>
      </c>
      <c r="R112" s="7">
        <f>+IFERROR(VLOOKUP(D112,[2]OECD_COUNTERDI_INCOME!A:B,2,0),0)</f>
        <v>1E-3</v>
      </c>
      <c r="S112" s="7">
        <f t="shared" si="22"/>
        <v>1.0384392762700001</v>
      </c>
      <c r="T112" s="206"/>
    </row>
    <row r="113" spans="1:20" ht="14.25" customHeight="1" x14ac:dyDescent="0.35">
      <c r="A113" s="1" t="s">
        <v>156</v>
      </c>
      <c r="B113" s="1" t="s">
        <v>157</v>
      </c>
      <c r="D113" s="1" t="s">
        <v>317</v>
      </c>
      <c r="E113" s="205" t="s">
        <v>156</v>
      </c>
      <c r="F113" s="6">
        <f t="shared" si="20"/>
        <v>0</v>
      </c>
      <c r="G113" s="7">
        <f>+IFERROR(IFERROR(VLOOKUP(D113,[2]IMF_fdi_credit_debitinc!$A:$C,3,0),VLOOKUP(E113,[2]IMF_fdi_credit_debitinc!$A:$C,3,0)),0)/1000000</f>
        <v>0</v>
      </c>
      <c r="H113" s="7">
        <f>+IFERROR(VLOOKUP(D113,[2]OECD_COUNTERDO_INCOME!A:B,2,0),0)</f>
        <v>2.3E-2</v>
      </c>
      <c r="I113" s="7" t="e">
        <f>+VLOOKUP(E113,'[2]CBC- IRS'!A:L,6,0)/1000000</f>
        <v>#N/A</v>
      </c>
      <c r="J113" s="7">
        <f t="shared" si="21"/>
        <v>-2.3E-2</v>
      </c>
      <c r="K113" s="8"/>
      <c r="L113" s="7"/>
      <c r="M113" s="7"/>
      <c r="N113" s="7"/>
      <c r="O113" s="7"/>
      <c r="P113" s="6">
        <f t="shared" si="23"/>
        <v>0</v>
      </c>
      <c r="Q113" s="7">
        <f>+IFERROR(IFERROR(VLOOKUP(D113,[2]IMF_fdi_credit_debitinc!$A:$C,2,0),VLOOKUP(O113,[2]IMF_fdi_credit_debitinc!$A:$C,2,0)),0)/1000000</f>
        <v>0</v>
      </c>
      <c r="R113" s="7">
        <f>+IFERROR(VLOOKUP(D113,[2]OECD_COUNTERDI_INCOME!A:B,2,0),0)</f>
        <v>0</v>
      </c>
      <c r="S113" s="7">
        <f t="shared" si="22"/>
        <v>0</v>
      </c>
      <c r="T113" s="206"/>
    </row>
    <row r="114" spans="1:20" ht="14.25" customHeight="1" x14ac:dyDescent="0.35">
      <c r="D114" s="1" t="s">
        <v>318</v>
      </c>
      <c r="E114" s="205" t="s">
        <v>158</v>
      </c>
      <c r="F114" s="6">
        <f t="shared" si="20"/>
        <v>0</v>
      </c>
      <c r="G114" s="7">
        <f>+IFERROR(IFERROR(VLOOKUP(D114,[2]IMF_fdi_credit_debitinc!$A:$C,3,0),VLOOKUP(E114,[2]IMF_fdi_credit_debitinc!$A:$C,3,0)),0)/1000000</f>
        <v>0</v>
      </c>
      <c r="H114" s="7">
        <f>+IFERROR(VLOOKUP(D114,[2]OECD_COUNTERDO_INCOME!A:B,2,0),0)</f>
        <v>4.6790000000000003</v>
      </c>
      <c r="I114" s="7" t="e">
        <f>+VLOOKUP(E114,'[2]CBC- IRS'!A:L,6,0)/1000000</f>
        <v>#N/A</v>
      </c>
      <c r="J114" s="7">
        <f t="shared" si="21"/>
        <v>-4.6790000000000003</v>
      </c>
      <c r="K114" s="8"/>
      <c r="L114" s="7"/>
      <c r="M114" s="7"/>
      <c r="N114" s="7"/>
      <c r="O114" s="7"/>
      <c r="P114" s="6">
        <f t="shared" si="23"/>
        <v>0</v>
      </c>
      <c r="Q114" s="7">
        <f>+IFERROR(IFERROR(VLOOKUP(D114,[2]IMF_fdi_credit_debitinc!$A:$C,2,0),VLOOKUP(O114,[2]IMF_fdi_credit_debitinc!$A:$C,2,0)),0)/1000000</f>
        <v>0</v>
      </c>
      <c r="R114" s="7">
        <f>+IFERROR(VLOOKUP(D114,[2]OECD_COUNTERDI_INCOME!A:B,2,0),0)</f>
        <v>0</v>
      </c>
      <c r="S114" s="7">
        <f t="shared" si="22"/>
        <v>0</v>
      </c>
      <c r="T114" s="206"/>
    </row>
    <row r="115" spans="1:20" ht="14.25" customHeight="1" x14ac:dyDescent="0.35">
      <c r="D115" s="1" t="str">
        <f>+IFERROR(IFERROR(VLOOKUP(A115,[7]Sheet1!$A$1:$C$65536,3,0),VLOOKUP(E115,[7]Sheet1!$A$1:$C$65536,3,0)),VLOOKUP(B115,[7]Sheet1!$A$1:$C$65536,3,0))</f>
        <v>COM</v>
      </c>
      <c r="E115" s="205" t="s">
        <v>159</v>
      </c>
      <c r="F115" s="6">
        <f t="shared" si="20"/>
        <v>0</v>
      </c>
      <c r="G115" s="7">
        <f>+IFERROR(IFERROR(VLOOKUP(D115,[2]IMF_fdi_credit_debitinc!$A:$C,3,0),VLOOKUP(E115,[2]IMF_fdi_credit_debitinc!$A:$C,3,0)),0)/1000000</f>
        <v>0</v>
      </c>
      <c r="H115" s="7">
        <f>+IFERROR(VLOOKUP(D115,[2]OECD_COUNTERDO_INCOME!A:B,2,0),0)</f>
        <v>0</v>
      </c>
      <c r="I115" s="7" t="e">
        <f>+VLOOKUP(E115,'[2]CBC- IRS'!A:L,6,0)/1000000</f>
        <v>#N/A</v>
      </c>
      <c r="J115" s="7">
        <f t="shared" si="21"/>
        <v>0</v>
      </c>
      <c r="K115" s="8"/>
      <c r="L115" s="7"/>
      <c r="M115" s="7"/>
      <c r="N115" s="7"/>
      <c r="O115" s="7"/>
      <c r="P115" s="6">
        <f t="shared" si="23"/>
        <v>0</v>
      </c>
      <c r="Q115" s="7">
        <f>+IFERROR(IFERROR(VLOOKUP(D115,[2]IMF_fdi_credit_debitinc!$A:$C,2,0),VLOOKUP(O115,[2]IMF_fdi_credit_debitinc!$A:$C,2,0)),0)/1000000</f>
        <v>0</v>
      </c>
      <c r="R115" s="7">
        <f>+IFERROR(VLOOKUP(D115,[2]OECD_COUNTERDI_INCOME!A:B,2,0),0)</f>
        <v>8.0000000000000002E-3</v>
      </c>
      <c r="S115" s="7">
        <f t="shared" si="22"/>
        <v>-8.0000000000000002E-3</v>
      </c>
      <c r="T115" s="206"/>
    </row>
    <row r="116" spans="1:20" ht="14.25" customHeight="1" x14ac:dyDescent="0.35">
      <c r="A116" s="1" t="s">
        <v>160</v>
      </c>
      <c r="B116" s="1" t="s">
        <v>161</v>
      </c>
      <c r="D116" s="1" t="str">
        <f>+IFERROR(IFERROR(VLOOKUP(A116,[7]Sheet1!$A$1:$C$65536,3,0),VLOOKUP(E116,[7]Sheet1!$A$1:$C$65536,3,0)),VLOOKUP(B116,[7]Sheet1!$A$1:$C$65536,3,0))</f>
        <v>COD</v>
      </c>
      <c r="E116" s="205" t="s">
        <v>162</v>
      </c>
      <c r="F116" s="6">
        <f t="shared" si="20"/>
        <v>0</v>
      </c>
      <c r="G116" s="7">
        <f>+IFERROR(IFERROR(VLOOKUP(D116,[2]IMF_fdi_credit_debitinc!$A:$C,3,0),VLOOKUP(E116,[2]IMF_fdi_credit_debitinc!$A:$C,3,0)),0)/1000000</f>
        <v>0</v>
      </c>
      <c r="H116" s="7">
        <f>+IFERROR(VLOOKUP(D116,[2]OECD_COUNTERDO_INCOME!A:B,2,0),0)</f>
        <v>26.821999999999999</v>
      </c>
      <c r="I116" s="7" t="e">
        <f>+VLOOKUP(E116,'[2]CBC- IRS'!A:L,6,0)/1000000</f>
        <v>#N/A</v>
      </c>
      <c r="J116" s="7">
        <f t="shared" si="21"/>
        <v>-26.821999999999999</v>
      </c>
      <c r="K116" s="8"/>
      <c r="L116" s="7"/>
      <c r="M116" s="7"/>
      <c r="N116" s="7"/>
      <c r="O116" s="7"/>
      <c r="P116" s="6">
        <f t="shared" si="23"/>
        <v>0</v>
      </c>
      <c r="Q116" s="7">
        <f>+IFERROR(IFERROR(VLOOKUP(D116,[2]IMF_fdi_credit_debitinc!$A:$C,2,0),VLOOKUP(O116,[2]IMF_fdi_credit_debitinc!$A:$C,2,0)),0)/1000000</f>
        <v>0</v>
      </c>
      <c r="R116" s="7">
        <f>+IFERROR(VLOOKUP(D116,[2]OECD_COUNTERDI_INCOME!A:B,2,0),0)</f>
        <v>3.3000000000000002E-2</v>
      </c>
      <c r="S116" s="7">
        <f t="shared" si="22"/>
        <v>-3.3000000000000002E-2</v>
      </c>
      <c r="T116" s="206"/>
    </row>
    <row r="117" spans="1:20" ht="14.25" customHeight="1" x14ac:dyDescent="0.35">
      <c r="A117" s="1" t="s">
        <v>163</v>
      </c>
      <c r="B117" s="1" t="s">
        <v>164</v>
      </c>
      <c r="D117" s="1" t="str">
        <f>+IFERROR(IFERROR(VLOOKUP(A117,[7]Sheet1!$A$1:$C$65536,3,0),VLOOKUP(E117,[7]Sheet1!$A$1:$C$65536,3,0)),VLOOKUP(B117,[7]Sheet1!$A$1:$C$65536,3,0))</f>
        <v>COG</v>
      </c>
      <c r="E117" s="205" t="s">
        <v>165</v>
      </c>
      <c r="F117" s="6">
        <f t="shared" si="20"/>
        <v>0</v>
      </c>
      <c r="G117" s="7">
        <f>+IFERROR(IFERROR(VLOOKUP(D117,[2]IMF_fdi_credit_debitinc!$A:$C,3,0),VLOOKUP(E117,[2]IMF_fdi_credit_debitinc!$A:$C,3,0)),0)/1000000</f>
        <v>0</v>
      </c>
      <c r="H117" s="7">
        <f>+IFERROR(VLOOKUP(D117,[2]OECD_COUNTERDO_INCOME!A:B,2,0),0)</f>
        <v>40.284999999999997</v>
      </c>
      <c r="I117" s="7" t="e">
        <f>+VLOOKUP(E117,'[2]CBC- IRS'!A:L,6,0)/1000000</f>
        <v>#N/A</v>
      </c>
      <c r="J117" s="7">
        <f t="shared" si="21"/>
        <v>-40.284999999999997</v>
      </c>
      <c r="K117" s="8"/>
      <c r="L117" s="7"/>
      <c r="M117" s="7"/>
      <c r="N117" s="7"/>
      <c r="O117" s="7"/>
      <c r="P117" s="6">
        <f t="shared" si="23"/>
        <v>0</v>
      </c>
      <c r="Q117" s="7">
        <f>+IFERROR(IFERROR(VLOOKUP(D117,[2]IMF_fdi_credit_debitinc!$A:$C,2,0),VLOOKUP(O117,[2]IMF_fdi_credit_debitinc!$A:$C,2,0)),0)/1000000</f>
        <v>0</v>
      </c>
      <c r="R117" s="7">
        <f>+IFERROR(VLOOKUP(D117,[2]OECD_COUNTERDI_INCOME!A:B,2,0),0)</f>
        <v>-4.4999999999999998E-2</v>
      </c>
      <c r="S117" s="7">
        <f t="shared" si="22"/>
        <v>4.4999999999999998E-2</v>
      </c>
      <c r="T117" s="206"/>
    </row>
    <row r="118" spans="1:20" ht="14.25" customHeight="1" x14ac:dyDescent="0.35">
      <c r="A118" s="1" t="s">
        <v>166</v>
      </c>
      <c r="B118" s="1" t="s">
        <v>167</v>
      </c>
      <c r="D118" s="1" t="str">
        <f>+IFERROR(IFERROR(VLOOKUP(A118,[7]Sheet1!$A$1:$C$65536,3,0),VLOOKUP(E118,[7]Sheet1!$A$1:$C$65536,3,0)),VLOOKUP(B118,[7]Sheet1!$A$1:$C$65536,3,0))</f>
        <v>CIV</v>
      </c>
      <c r="E118" s="205" t="s">
        <v>168</v>
      </c>
      <c r="F118" s="6">
        <f t="shared" si="20"/>
        <v>0</v>
      </c>
      <c r="G118" s="7">
        <f>+IFERROR(IFERROR(VLOOKUP(D118,[2]IMF_fdi_credit_debitinc!$A:$C,3,0),VLOOKUP(E118,[2]IMF_fdi_credit_debitinc!$A:$C,3,0)),0)/1000000</f>
        <v>0</v>
      </c>
      <c r="H118" s="7">
        <f>+IFERROR(VLOOKUP(D118,[2]OECD_COUNTERDO_INCOME!A:B,2,0),0)</f>
        <v>44.146999999999998</v>
      </c>
      <c r="I118" s="7" t="e">
        <f>+VLOOKUP(E118,'[2]CBC- IRS'!A:L,6,0)/1000000</f>
        <v>#N/A</v>
      </c>
      <c r="J118" s="7">
        <f t="shared" si="21"/>
        <v>-44.146999999999998</v>
      </c>
      <c r="K118" s="8"/>
      <c r="L118" s="7"/>
      <c r="M118" s="7"/>
      <c r="N118" s="7"/>
      <c r="O118" s="7"/>
      <c r="P118" s="6">
        <f t="shared" si="23"/>
        <v>0</v>
      </c>
      <c r="Q118" s="7">
        <f>+IFERROR(IFERROR(VLOOKUP(D118,[2]IMF_fdi_credit_debitinc!$A:$C,2,0),VLOOKUP(O118,[2]IMF_fdi_credit_debitinc!$A:$C,2,0)),0)/1000000</f>
        <v>0</v>
      </c>
      <c r="R118" s="7">
        <f>+IFERROR(VLOOKUP(D118,[2]OECD_COUNTERDI_INCOME!A:B,2,0),0)</f>
        <v>349.29700000000003</v>
      </c>
      <c r="S118" s="7">
        <f t="shared" si="22"/>
        <v>-349.29700000000003</v>
      </c>
      <c r="T118" s="206"/>
    </row>
    <row r="119" spans="1:20" ht="14.25" customHeight="1" x14ac:dyDescent="0.35">
      <c r="D119" s="1" t="str">
        <f>+IFERROR(IFERROR(VLOOKUP(A119,[7]Sheet1!$A$1:$C$65536,3,0),VLOOKUP(E119,[7]Sheet1!$A$1:$C$65536,3,0)),VLOOKUP(B119,[7]Sheet1!$A$1:$C$65536,3,0))</f>
        <v>HRV</v>
      </c>
      <c r="E119" s="205" t="s">
        <v>169</v>
      </c>
      <c r="F119" s="6">
        <f t="shared" si="20"/>
        <v>2321.5</v>
      </c>
      <c r="G119" s="7">
        <f>+IFERROR(IFERROR(VLOOKUP(D119,[2]IMF_fdi_credit_debitinc!$A:$C,3,0),VLOOKUP(E119,[2]IMF_fdi_credit_debitinc!$A:$C,3,0)),0)/1000000</f>
        <v>2321.5</v>
      </c>
      <c r="H119" s="7">
        <f>+IFERROR(VLOOKUP(D119,[2]OECD_COUNTERDO_INCOME!A:B,2,0),0)</f>
        <v>1509.6880000000001</v>
      </c>
      <c r="I119" s="7">
        <f>+VLOOKUP(E119,'[2]CBC- IRS'!A:L,6,0)/1000000</f>
        <v>0.106005855</v>
      </c>
      <c r="J119" s="7">
        <f t="shared" si="21"/>
        <v>811.8119999999999</v>
      </c>
      <c r="K119" s="8"/>
      <c r="L119" s="7"/>
      <c r="M119" s="7"/>
      <c r="N119" s="7"/>
      <c r="O119" s="7"/>
      <c r="P119" s="6">
        <f t="shared" si="23"/>
        <v>221.167</v>
      </c>
      <c r="Q119" s="7">
        <f>+IFERROR(IFERROR(VLOOKUP(D119,[2]IMF_fdi_credit_debitinc!$A:$C,2,0),VLOOKUP(O119,[2]IMF_fdi_credit_debitinc!$A:$C,2,0)),0)/1000000</f>
        <v>221.167</v>
      </c>
      <c r="R119" s="7">
        <f>+IFERROR(VLOOKUP(D119,[2]OECD_COUNTERDI_INCOME!A:B,2,0),0)</f>
        <v>104.158</v>
      </c>
      <c r="S119" s="7">
        <f t="shared" si="22"/>
        <v>117.009</v>
      </c>
      <c r="T119" s="206"/>
    </row>
    <row r="120" spans="1:20" ht="14.25" customHeight="1" x14ac:dyDescent="0.35">
      <c r="D120" s="1" t="str">
        <f>+IFERROR(IFERROR(VLOOKUP(A120,[7]Sheet1!$A$1:$C$65536,3,0),VLOOKUP(E120,[7]Sheet1!$A$1:$C$65536,3,0)),VLOOKUP(B120,[7]Sheet1!$A$1:$C$65536,3,0))</f>
        <v>DJI</v>
      </c>
      <c r="E120" s="205" t="s">
        <v>170</v>
      </c>
      <c r="F120" s="6">
        <f t="shared" si="20"/>
        <v>0</v>
      </c>
      <c r="G120" s="7">
        <f>+IFERROR(IFERROR(VLOOKUP(D120,[2]IMF_fdi_credit_debitinc!$A:$C,3,0),VLOOKUP(E120,[2]IMF_fdi_credit_debitinc!$A:$C,3,0)),0)/1000000</f>
        <v>0</v>
      </c>
      <c r="H120" s="7">
        <f>+IFERROR(VLOOKUP(D120,[2]OECD_COUNTERDO_INCOME!A:B,2,0),0)</f>
        <v>10.585000000000001</v>
      </c>
      <c r="I120" s="7" t="e">
        <f>+VLOOKUP(E120,'[2]CBC- IRS'!A:L,6,0)/1000000</f>
        <v>#N/A</v>
      </c>
      <c r="J120" s="7">
        <f t="shared" si="21"/>
        <v>-10.585000000000001</v>
      </c>
      <c r="K120" s="8"/>
      <c r="L120" s="7"/>
      <c r="M120" s="7"/>
      <c r="N120" s="7"/>
      <c r="O120" s="7"/>
      <c r="P120" s="6">
        <f t="shared" si="23"/>
        <v>0</v>
      </c>
      <c r="Q120" s="7">
        <f>+IFERROR(IFERROR(VLOOKUP(D120,[2]IMF_fdi_credit_debitinc!$A:$C,2,0),VLOOKUP(O120,[2]IMF_fdi_credit_debitinc!$A:$C,2,0)),0)/1000000</f>
        <v>0</v>
      </c>
      <c r="R120" s="7">
        <f>+IFERROR(VLOOKUP(D120,[2]OECD_COUNTERDI_INCOME!A:B,2,0),0)</f>
        <v>5.8999999999999997E-2</v>
      </c>
      <c r="S120" s="7">
        <f t="shared" si="22"/>
        <v>-5.8999999999999997E-2</v>
      </c>
      <c r="T120" s="206"/>
    </row>
    <row r="121" spans="1:20" ht="14.25" customHeight="1" x14ac:dyDescent="0.35">
      <c r="D121" s="1" t="str">
        <f>+IFERROR(IFERROR(VLOOKUP(A121,[7]Sheet1!$A$1:$C$65536,3,0),VLOOKUP(E121,[7]Sheet1!$A$1:$C$65536,3,0)),VLOOKUP(B121,[7]Sheet1!$A$1:$C$65536,3,0))</f>
        <v>DMA</v>
      </c>
      <c r="E121" s="205" t="s">
        <v>171</v>
      </c>
      <c r="F121" s="6">
        <f t="shared" si="20"/>
        <v>0</v>
      </c>
      <c r="G121" s="7">
        <f>+IFERROR(IFERROR(VLOOKUP(D121,[2]IMF_fdi_credit_debitinc!$A:$C,3,0),VLOOKUP(E121,[2]IMF_fdi_credit_debitinc!$A:$C,3,0)),0)/1000000</f>
        <v>0</v>
      </c>
      <c r="H121" s="7">
        <f>+IFERROR(VLOOKUP(D121,[2]OECD_COUNTERDO_INCOME!A:B,2,0),0)</f>
        <v>59.371000000000002</v>
      </c>
      <c r="I121" s="7" t="e">
        <f>+VLOOKUP(E121,'[2]CBC- IRS'!A:L,6,0)/1000000</f>
        <v>#N/A</v>
      </c>
      <c r="J121" s="7">
        <f t="shared" si="21"/>
        <v>-59.371000000000002</v>
      </c>
      <c r="K121" s="8"/>
      <c r="L121" s="7"/>
      <c r="M121" s="7"/>
      <c r="N121" s="7"/>
      <c r="O121" s="7"/>
      <c r="P121" s="6">
        <f t="shared" si="23"/>
        <v>0</v>
      </c>
      <c r="Q121" s="7">
        <f>+IFERROR(IFERROR(VLOOKUP(D121,[2]IMF_fdi_credit_debitinc!$A:$C,2,0),VLOOKUP(O121,[2]IMF_fdi_credit_debitinc!$A:$C,2,0)),0)/1000000</f>
        <v>0</v>
      </c>
      <c r="R121" s="7">
        <f>+IFERROR(VLOOKUP(D121,[2]OECD_COUNTERDI_INCOME!A:B,2,0),0)</f>
        <v>-6.2380000000000004</v>
      </c>
      <c r="S121" s="7">
        <f t="shared" si="22"/>
        <v>6.2380000000000004</v>
      </c>
      <c r="T121" s="206"/>
    </row>
    <row r="122" spans="1:20" ht="14.25" customHeight="1" x14ac:dyDescent="0.35">
      <c r="A122" s="14" t="s">
        <v>172</v>
      </c>
      <c r="B122" s="15" t="s">
        <v>173</v>
      </c>
      <c r="D122" s="1" t="str">
        <f>+IFERROR(IFERROR(VLOOKUP(A122,[7]Sheet1!$A$1:$C$65536,3,0),VLOOKUP(E122,[7]Sheet1!$A$1:$C$65536,3,0)),VLOOKUP(B122,[7]Sheet1!$A$1:$C$65536,3,0))</f>
        <v>DOM</v>
      </c>
      <c r="E122" s="205" t="s">
        <v>172</v>
      </c>
      <c r="F122" s="6">
        <f t="shared" si="20"/>
        <v>2915.6</v>
      </c>
      <c r="G122" s="7">
        <f>+IFERROR(IFERROR(VLOOKUP(D122,[2]IMF_fdi_credit_debitinc!$A:$C,3,0),VLOOKUP(E122,[2]IMF_fdi_credit_debitinc!$A:$C,3,0)),0)/1000000</f>
        <v>2915.6</v>
      </c>
      <c r="H122" s="7">
        <f>+IFERROR(VLOOKUP(D122,[2]OECD_COUNTERDO_INCOME!A:B,2,0),0)</f>
        <v>608.58900000000006</v>
      </c>
      <c r="I122" s="7">
        <f>+VLOOKUP(E122,'[2]CBC- IRS'!A:L,6,0)/1000000</f>
        <v>0.96721013100000008</v>
      </c>
      <c r="J122" s="7">
        <f t="shared" si="21"/>
        <v>2307.011</v>
      </c>
      <c r="K122" s="8"/>
      <c r="L122" s="7"/>
      <c r="M122" s="7"/>
      <c r="N122" s="7"/>
      <c r="O122" s="7"/>
      <c r="P122" s="6">
        <f t="shared" si="23"/>
        <v>0</v>
      </c>
      <c r="Q122" s="7">
        <f>+IFERROR(IFERROR(VLOOKUP(D122,[2]IMF_fdi_credit_debitinc!$A:$C,2,0),VLOOKUP(O122,[2]IMF_fdi_credit_debitinc!$A:$C,2,0)),0)/1000000</f>
        <v>0</v>
      </c>
      <c r="R122" s="7">
        <f>+IFERROR(VLOOKUP(D122,[2]OECD_COUNTERDI_INCOME!A:B,2,0),0)</f>
        <v>10.37</v>
      </c>
      <c r="S122" s="7">
        <f t="shared" si="22"/>
        <v>-10.37</v>
      </c>
      <c r="T122" s="206"/>
    </row>
    <row r="123" spans="1:20" ht="14.25" customHeight="1" x14ac:dyDescent="0.35">
      <c r="D123" s="1" t="str">
        <f>+IFERROR(IFERROR(VLOOKUP(A123,[7]Sheet1!$A$1:$C$65536,3,0),VLOOKUP(E123,[7]Sheet1!$A$1:$C$65536,3,0)),VLOOKUP(B123,[7]Sheet1!$A$1:$C$65536,3,0))</f>
        <v>ECU</v>
      </c>
      <c r="E123" s="205" t="s">
        <v>174</v>
      </c>
      <c r="F123" s="6">
        <f t="shared" si="20"/>
        <v>391.28199999999998</v>
      </c>
      <c r="G123" s="7">
        <f>+IFERROR(IFERROR(VLOOKUP(D123,[2]IMF_fdi_credit_debitinc!$A:$C,3,0),VLOOKUP(E123,[2]IMF_fdi_credit_debitinc!$A:$C,3,0)),0)/1000000</f>
        <v>391.28199999999998</v>
      </c>
      <c r="H123" s="7">
        <f>+IFERROR(VLOOKUP(D123,[2]OECD_COUNTERDO_INCOME!A:B,2,0),0)</f>
        <v>401.31900000000002</v>
      </c>
      <c r="I123" s="7">
        <f>+VLOOKUP(E123,'[2]CBC- IRS'!A:L,6,0)/1000000</f>
        <v>0.28524198700000003</v>
      </c>
      <c r="J123" s="7">
        <f t="shared" si="21"/>
        <v>-10.037000000000035</v>
      </c>
      <c r="K123" s="8"/>
      <c r="L123" s="7"/>
      <c r="M123" s="7"/>
      <c r="N123" s="7"/>
      <c r="O123" s="7"/>
      <c r="P123" s="6">
        <f t="shared" si="23"/>
        <v>0</v>
      </c>
      <c r="Q123" s="7">
        <f>+IFERROR(IFERROR(VLOOKUP(D123,[2]IMF_fdi_credit_debitinc!$A:$C,2,0),VLOOKUP(O123,[2]IMF_fdi_credit_debitinc!$A:$C,2,0)),0)/1000000</f>
        <v>0</v>
      </c>
      <c r="R123" s="7">
        <f>+IFERROR(VLOOKUP(D123,[2]OECD_COUNTERDI_INCOME!A:B,2,0),0)</f>
        <v>-3.0430000000000001</v>
      </c>
      <c r="S123" s="7">
        <f t="shared" si="22"/>
        <v>3.0430000000000001</v>
      </c>
      <c r="T123" s="206"/>
    </row>
    <row r="124" spans="1:20" ht="14.25" customHeight="1" x14ac:dyDescent="0.35">
      <c r="D124" s="1" t="str">
        <f>+IFERROR(IFERROR(VLOOKUP(A124,[7]Sheet1!$A$1:$C$65536,3,0),VLOOKUP(E124,[7]Sheet1!$A$1:$C$65536,3,0)),VLOOKUP(B124,[7]Sheet1!$A$1:$C$65536,3,0))</f>
        <v>EGY</v>
      </c>
      <c r="E124" s="205" t="s">
        <v>175</v>
      </c>
      <c r="F124" s="6">
        <f t="shared" si="20"/>
        <v>0</v>
      </c>
      <c r="G124" s="7">
        <f>+IFERROR(IFERROR(VLOOKUP(D124,[2]IMF_fdi_credit_debitinc!$A:$C,3,0),VLOOKUP(E124,[2]IMF_fdi_credit_debitinc!$A:$C,3,0)),0)/1000000</f>
        <v>0</v>
      </c>
      <c r="H124" s="7">
        <f>+IFERROR(VLOOKUP(D124,[2]OECD_COUNTERDO_INCOME!A:B,2,0),0)</f>
        <v>1474.09</v>
      </c>
      <c r="I124" s="7">
        <f>+VLOOKUP(E124,'[2]CBC- IRS'!A:L,6,0)/1000000</f>
        <v>1.896625075</v>
      </c>
      <c r="J124" s="7">
        <f t="shared" si="21"/>
        <v>-1474.09</v>
      </c>
      <c r="K124" s="8"/>
      <c r="L124" s="7"/>
      <c r="M124" s="7"/>
      <c r="N124" s="7"/>
      <c r="O124" s="7"/>
      <c r="P124" s="6">
        <f t="shared" si="23"/>
        <v>0</v>
      </c>
      <c r="Q124" s="7">
        <f>+IFERROR(IFERROR(VLOOKUP(D124,[2]IMF_fdi_credit_debitinc!$A:$C,2,0),VLOOKUP(O124,[2]IMF_fdi_credit_debitinc!$A:$C,2,0)),0)/1000000</f>
        <v>0</v>
      </c>
      <c r="R124" s="7">
        <f>+IFERROR(VLOOKUP(D124,[2]OECD_COUNTERDI_INCOME!A:B,2,0),0)</f>
        <v>-22.869</v>
      </c>
      <c r="S124" s="7">
        <f t="shared" si="22"/>
        <v>22.869</v>
      </c>
      <c r="T124" s="206"/>
    </row>
    <row r="125" spans="1:20" ht="14.25" customHeight="1" x14ac:dyDescent="0.35">
      <c r="A125" s="14" t="s">
        <v>176</v>
      </c>
      <c r="B125" s="15" t="s">
        <v>177</v>
      </c>
      <c r="D125" s="1" t="str">
        <f>+IFERROR(IFERROR(VLOOKUP(A125,[7]Sheet1!$A$1:$C$65536,3,0),VLOOKUP(E125,[7]Sheet1!$A$1:$C$65536,3,0)),VLOOKUP(B125,[7]Sheet1!$A$1:$C$65536,3,0))</f>
        <v>SLV</v>
      </c>
      <c r="E125" s="205" t="s">
        <v>176</v>
      </c>
      <c r="F125" s="6">
        <f t="shared" si="20"/>
        <v>820.98299999999995</v>
      </c>
      <c r="G125" s="7">
        <f>+IFERROR(IFERROR(VLOOKUP(D125,[2]IMF_fdi_credit_debitinc!$A:$C,3,0),VLOOKUP(E125,[2]IMF_fdi_credit_debitinc!$A:$C,3,0)),0)/1000000</f>
        <v>820.98299999999995</v>
      </c>
      <c r="H125" s="7">
        <f>+IFERROR(VLOOKUP(D125,[2]OECD_COUNTERDO_INCOME!A:B,2,0),0)</f>
        <v>490.95600000000002</v>
      </c>
      <c r="I125" s="7">
        <f>+VLOOKUP(E125,'[2]CBC- IRS'!A:L,6,0)/1000000</f>
        <v>0.36556990500000003</v>
      </c>
      <c r="J125" s="7">
        <f t="shared" si="21"/>
        <v>330.02699999999993</v>
      </c>
      <c r="K125" s="8"/>
      <c r="L125" s="7"/>
      <c r="M125" s="7"/>
      <c r="N125" s="7"/>
      <c r="O125" s="7"/>
      <c r="P125" s="6">
        <f t="shared" si="23"/>
        <v>0.47439279819000002</v>
      </c>
      <c r="Q125" s="7">
        <f>+IFERROR(IFERROR(VLOOKUP(D125,[2]IMF_fdi_credit_debitinc!$A:$C,2,0),VLOOKUP(O125,[2]IMF_fdi_credit_debitinc!$A:$C,2,0)),0)/1000000</f>
        <v>0.47439279819000002</v>
      </c>
      <c r="R125" s="7">
        <f>+IFERROR(VLOOKUP(D125,[2]OECD_COUNTERDI_INCOME!A:B,2,0),0)</f>
        <v>16.773</v>
      </c>
      <c r="S125" s="7">
        <f t="shared" si="22"/>
        <v>-16.29860720181</v>
      </c>
      <c r="T125" s="206"/>
    </row>
    <row r="126" spans="1:20" ht="14.25" customHeight="1" x14ac:dyDescent="0.35">
      <c r="A126" s="14" t="s">
        <v>178</v>
      </c>
      <c r="B126" s="15" t="s">
        <v>179</v>
      </c>
      <c r="D126" s="1" t="s">
        <v>299</v>
      </c>
      <c r="E126" s="205" t="s">
        <v>178</v>
      </c>
      <c r="F126" s="6">
        <f t="shared" si="20"/>
        <v>0</v>
      </c>
      <c r="G126" s="7">
        <f>+IFERROR(IFERROR(VLOOKUP(D126,[2]IMF_fdi_credit_debitinc!$A:$C,3,0),VLOOKUP(E126,[2]IMF_fdi_credit_debitinc!$A:$C,3,0)),0)/1000000</f>
        <v>0</v>
      </c>
      <c r="H126" s="7">
        <f>+IFERROR(VLOOKUP(D126,[2]OECD_COUNTERDO_INCOME!A:B,2,0),0)</f>
        <v>58.320999999999998</v>
      </c>
      <c r="I126" s="7">
        <f>+VLOOKUP(E126,'[2]CBC- IRS'!A:L,6,0)/1000000</f>
        <v>-7.0451419999999999E-3</v>
      </c>
      <c r="J126" s="7">
        <f t="shared" si="21"/>
        <v>-58.320999999999998</v>
      </c>
      <c r="K126" s="8"/>
      <c r="L126" s="7"/>
      <c r="M126" s="7"/>
      <c r="N126" s="7"/>
      <c r="O126" s="7"/>
      <c r="P126" s="6">
        <f t="shared" si="23"/>
        <v>0</v>
      </c>
      <c r="Q126" s="7">
        <f>+IFERROR(IFERROR(VLOOKUP(D126,[2]IMF_fdi_credit_debitinc!$A:$C,2,0),VLOOKUP(O126,[2]IMF_fdi_credit_debitinc!$A:$C,2,0)),0)/1000000</f>
        <v>0</v>
      </c>
      <c r="R126" s="7">
        <f>+IFERROR(VLOOKUP(D126,[2]OECD_COUNTERDI_INCOME!A:B,2,0),0)</f>
        <v>3.2000000000000001E-2</v>
      </c>
      <c r="S126" s="7">
        <f t="shared" si="22"/>
        <v>-3.2000000000000001E-2</v>
      </c>
      <c r="T126" s="206"/>
    </row>
    <row r="127" spans="1:20" ht="14.25" customHeight="1" x14ac:dyDescent="0.35">
      <c r="D127" s="1" t="str">
        <f>+IFERROR(IFERROR(VLOOKUP(A127,[7]Sheet1!$A$1:$C$65536,3,0),VLOOKUP(E127,[7]Sheet1!$A$1:$C$65536,3,0)),VLOOKUP(B127,[7]Sheet1!$A$1:$C$65536,3,0))</f>
        <v>ERI</v>
      </c>
      <c r="E127" s="205" t="s">
        <v>180</v>
      </c>
      <c r="F127" s="6">
        <f t="shared" si="20"/>
        <v>0</v>
      </c>
      <c r="G127" s="7">
        <f>+IFERROR(IFERROR(VLOOKUP(D127,[2]IMF_fdi_credit_debitinc!$A:$C,3,0),VLOOKUP(E127,[2]IMF_fdi_credit_debitinc!$A:$C,3,0)),0)/1000000</f>
        <v>0</v>
      </c>
      <c r="H127" s="7">
        <f>+IFERROR(VLOOKUP(D127,[2]OECD_COUNTERDO_INCOME!A:B,2,0),0)</f>
        <v>3.5329999999999999</v>
      </c>
      <c r="I127" s="7" t="e">
        <f>+VLOOKUP(E127,'[2]CBC- IRS'!A:L,6,0)/1000000</f>
        <v>#N/A</v>
      </c>
      <c r="J127" s="7">
        <f t="shared" si="21"/>
        <v>-3.5329999999999999</v>
      </c>
      <c r="K127" s="8"/>
      <c r="L127" s="7"/>
      <c r="M127" s="7"/>
      <c r="N127" s="7"/>
      <c r="O127" s="7"/>
      <c r="P127" s="6">
        <f t="shared" si="23"/>
        <v>0</v>
      </c>
      <c r="Q127" s="7">
        <f>+IFERROR(IFERROR(VLOOKUP(D127,[2]IMF_fdi_credit_debitinc!$A:$C,2,0),VLOOKUP(O127,[2]IMF_fdi_credit_debitinc!$A:$C,2,0)),0)/1000000</f>
        <v>0</v>
      </c>
      <c r="R127" s="7">
        <f>+IFERROR(VLOOKUP(D127,[2]OECD_COUNTERDI_INCOME!A:B,2,0),0)</f>
        <v>4.4999999999999998E-2</v>
      </c>
      <c r="S127" s="7">
        <f t="shared" si="22"/>
        <v>-4.4999999999999998E-2</v>
      </c>
      <c r="T127" s="206"/>
    </row>
    <row r="128" spans="1:20" ht="14.25" customHeight="1" x14ac:dyDescent="0.35">
      <c r="D128" s="1" t="str">
        <f>+IFERROR(IFERROR(VLOOKUP(A128,[7]Sheet1!$A$1:$C$65536,3,0),VLOOKUP(E128,[7]Sheet1!$A$1:$C$65536,3,0)),VLOOKUP(B128,[7]Sheet1!$A$1:$C$65536,3,0))</f>
        <v>ETH</v>
      </c>
      <c r="E128" s="205" t="s">
        <v>181</v>
      </c>
      <c r="F128" s="6">
        <f t="shared" si="20"/>
        <v>0</v>
      </c>
      <c r="G128" s="7">
        <f>+IFERROR(IFERROR(VLOOKUP(D128,[2]IMF_fdi_credit_debitinc!$A:$C,3,0),VLOOKUP(E128,[2]IMF_fdi_credit_debitinc!$A:$C,3,0)),0)/1000000</f>
        <v>0</v>
      </c>
      <c r="H128" s="7">
        <f>+IFERROR(VLOOKUP(D128,[2]OECD_COUNTERDO_INCOME!A:B,2,0),0)</f>
        <v>-52.354999999999997</v>
      </c>
      <c r="I128" s="7" t="e">
        <f>+VLOOKUP(E128,'[2]CBC- IRS'!A:L,6,0)/1000000</f>
        <v>#N/A</v>
      </c>
      <c r="J128" s="7">
        <f t="shared" si="21"/>
        <v>52.354999999999997</v>
      </c>
      <c r="K128" s="8"/>
      <c r="L128" s="7"/>
      <c r="M128" s="7"/>
      <c r="N128" s="7"/>
      <c r="O128" s="7"/>
      <c r="P128" s="6">
        <f t="shared" si="23"/>
        <v>0</v>
      </c>
      <c r="Q128" s="7">
        <f>+IFERROR(IFERROR(VLOOKUP(D128,[2]IMF_fdi_credit_debitinc!$A:$C,2,0),VLOOKUP(O128,[2]IMF_fdi_credit_debitinc!$A:$C,2,0)),0)/1000000</f>
        <v>0</v>
      </c>
      <c r="R128" s="7">
        <f>+IFERROR(VLOOKUP(D128,[2]OECD_COUNTERDI_INCOME!A:B,2,0),0)</f>
        <v>3.3000000000000002E-2</v>
      </c>
      <c r="S128" s="7">
        <f t="shared" si="22"/>
        <v>-3.3000000000000002E-2</v>
      </c>
      <c r="T128" s="206"/>
    </row>
    <row r="129" spans="1:20" ht="14.25" customHeight="1" x14ac:dyDescent="0.35">
      <c r="A129" s="14" t="s">
        <v>182</v>
      </c>
      <c r="B129" s="15" t="s">
        <v>183</v>
      </c>
      <c r="D129" s="1" t="str">
        <f>+IFERROR(IFERROR(VLOOKUP(A129,[7]Sheet1!$A$1:$C$65536,3,0),VLOOKUP(E129,[7]Sheet1!$A$1:$C$65536,3,0)),VLOOKUP(B129,[7]Sheet1!$A$1:$C$65536,3,0))</f>
        <v>FRO</v>
      </c>
      <c r="E129" s="205" t="s">
        <v>184</v>
      </c>
      <c r="F129" s="6">
        <f t="shared" si="20"/>
        <v>0</v>
      </c>
      <c r="G129" s="7">
        <f>+IFERROR(IFERROR(VLOOKUP(D129,[2]IMF_fdi_credit_debitinc!$A:$C,3,0),VLOOKUP(E129,[2]IMF_fdi_credit_debitinc!$A:$C,3,0)),0)/1000000</f>
        <v>0</v>
      </c>
      <c r="H129" s="7">
        <f>+IFERROR(VLOOKUP(D129,[2]OECD_COUNTERDO_INCOME!A:B,2,0),0)</f>
        <v>32.683</v>
      </c>
      <c r="I129" s="7" t="e">
        <f>+VLOOKUP(E129,'[2]CBC- IRS'!A:L,6,0)/1000000</f>
        <v>#N/A</v>
      </c>
      <c r="J129" s="7">
        <f t="shared" si="21"/>
        <v>-32.683</v>
      </c>
      <c r="K129" s="8"/>
      <c r="L129" s="7"/>
      <c r="M129" s="7"/>
      <c r="N129" s="7"/>
      <c r="O129" s="7"/>
      <c r="P129" s="6">
        <f t="shared" si="23"/>
        <v>0</v>
      </c>
      <c r="Q129" s="7">
        <f>+IFERROR(IFERROR(VLOOKUP(D129,[2]IMF_fdi_credit_debitinc!$A:$C,2,0),VLOOKUP(O129,[2]IMF_fdi_credit_debitinc!$A:$C,2,0)),0)/1000000</f>
        <v>0</v>
      </c>
      <c r="R129" s="7">
        <f>+IFERROR(VLOOKUP(D129,[2]OECD_COUNTERDI_INCOME!A:B,2,0),0)</f>
        <v>2.633</v>
      </c>
      <c r="S129" s="7">
        <f t="shared" si="22"/>
        <v>-2.633</v>
      </c>
      <c r="T129" s="206"/>
    </row>
    <row r="130" spans="1:20" ht="14.25" customHeight="1" x14ac:dyDescent="0.35">
      <c r="D130" s="1" t="str">
        <f>+IFERROR(IFERROR(VLOOKUP(A130,[7]Sheet1!$A$1:$C$65536,3,0),VLOOKUP(E130,[7]Sheet1!$A$1:$C$65536,3,0)),VLOOKUP(B130,[7]Sheet1!$A$1:$C$65536,3,0))</f>
        <v>FJI</v>
      </c>
      <c r="E130" s="205" t="s">
        <v>185</v>
      </c>
      <c r="F130" s="6">
        <f t="shared" si="20"/>
        <v>459.29899999999998</v>
      </c>
      <c r="G130" s="7">
        <f>+IFERROR(IFERROR(VLOOKUP(D130,[2]IMF_fdi_credit_debitinc!$A:$C,3,0),VLOOKUP(E130,[2]IMF_fdi_credit_debitinc!$A:$C,3,0)),0)/1000000</f>
        <v>459.29899999999998</v>
      </c>
      <c r="H130" s="7">
        <f>+IFERROR(VLOOKUP(D130,[2]OECD_COUNTERDO_INCOME!A:B,2,0),0)</f>
        <v>32.552999999999997</v>
      </c>
      <c r="I130" s="7">
        <f>+VLOOKUP(E130,'[2]CBC- IRS'!A:L,6,0)/1000000</f>
        <v>2.8610438999999998E-2</v>
      </c>
      <c r="J130" s="7">
        <f t="shared" si="21"/>
        <v>426.74599999999998</v>
      </c>
      <c r="K130" s="8"/>
      <c r="L130" s="7"/>
      <c r="M130" s="7"/>
      <c r="N130" s="7"/>
      <c r="O130" s="7"/>
      <c r="P130" s="6">
        <f t="shared" si="23"/>
        <v>0</v>
      </c>
      <c r="Q130" s="7">
        <f>+IFERROR(IFERROR(VLOOKUP(D130,[2]IMF_fdi_credit_debitinc!$A:$C,2,0),VLOOKUP(O130,[2]IMF_fdi_credit_debitinc!$A:$C,2,0)),0)/1000000</f>
        <v>0</v>
      </c>
      <c r="R130" s="7">
        <f>+IFERROR(VLOOKUP(D130,[2]OECD_COUNTERDI_INCOME!A:B,2,0),0)</f>
        <v>0.02</v>
      </c>
      <c r="S130" s="7">
        <f t="shared" si="22"/>
        <v>-0.02</v>
      </c>
      <c r="T130" s="206"/>
    </row>
    <row r="131" spans="1:20" ht="14.25" customHeight="1" x14ac:dyDescent="0.35">
      <c r="D131" s="1" t="str">
        <f>+IFERROR(IFERROR(VLOOKUP(A131,[7]Sheet1!$A$1:$C$65536,3,0),VLOOKUP(E131,[7]Sheet1!$A$1:$C$65536,3,0)),VLOOKUP(B131,[7]Sheet1!$A$1:$C$65536,3,0))</f>
        <v>GAB</v>
      </c>
      <c r="E131" s="205" t="s">
        <v>186</v>
      </c>
      <c r="F131" s="6">
        <f t="shared" si="20"/>
        <v>0</v>
      </c>
      <c r="G131" s="7">
        <f>+IFERROR(IFERROR(VLOOKUP(D131,[2]IMF_fdi_credit_debitinc!$A:$C,3,0),VLOOKUP(E131,[2]IMF_fdi_credit_debitinc!$A:$C,3,0)),0)/1000000</f>
        <v>0</v>
      </c>
      <c r="H131" s="7">
        <f>+IFERROR(VLOOKUP(D131,[2]OECD_COUNTERDO_INCOME!A:B,2,0),0)</f>
        <v>-13.308</v>
      </c>
      <c r="I131" s="7">
        <f>+VLOOKUP(E131,'[2]CBC- IRS'!A:L,6,0)/1000000</f>
        <v>0.14966960900000001</v>
      </c>
      <c r="J131" s="7">
        <f t="shared" si="21"/>
        <v>13.308</v>
      </c>
      <c r="K131" s="8"/>
      <c r="L131" s="7"/>
      <c r="M131" s="7"/>
      <c r="N131" s="7"/>
      <c r="O131" s="7"/>
      <c r="P131" s="6">
        <f t="shared" si="23"/>
        <v>0</v>
      </c>
      <c r="Q131" s="7">
        <f>+IFERROR(IFERROR(VLOOKUP(D131,[2]IMF_fdi_credit_debitinc!$A:$C,2,0),VLOOKUP(O131,[2]IMF_fdi_credit_debitinc!$A:$C,2,0)),0)/1000000</f>
        <v>0</v>
      </c>
      <c r="R131" s="7">
        <f>+IFERROR(VLOOKUP(D131,[2]OECD_COUNTERDI_INCOME!A:B,2,0),0)</f>
        <v>2E-3</v>
      </c>
      <c r="S131" s="7">
        <f t="shared" si="22"/>
        <v>-2E-3</v>
      </c>
      <c r="T131" s="206"/>
    </row>
    <row r="132" spans="1:20" ht="14.25" customHeight="1" x14ac:dyDescent="0.35">
      <c r="A132" s="14" t="s">
        <v>187</v>
      </c>
      <c r="B132" s="15" t="s">
        <v>188</v>
      </c>
      <c r="D132" s="1" t="str">
        <f>+IFERROR(IFERROR(VLOOKUP(A132,[7]Sheet1!$A$1:$C$65536,3,0),VLOOKUP(E132,[7]Sheet1!$A$1:$C$65536,3,0)),VLOOKUP(B132,[7]Sheet1!$A$1:$C$65536,3,0))</f>
        <v>GMB</v>
      </c>
      <c r="E132" s="205" t="s">
        <v>187</v>
      </c>
      <c r="F132" s="6">
        <f t="shared" si="20"/>
        <v>0</v>
      </c>
      <c r="G132" s="7">
        <f>+IFERROR(IFERROR(VLOOKUP(D132,[2]IMF_fdi_credit_debitinc!$A:$C,3,0),VLOOKUP(E132,[2]IMF_fdi_credit_debitinc!$A:$C,3,0)),0)/1000000</f>
        <v>0</v>
      </c>
      <c r="H132" s="7">
        <f>+IFERROR(VLOOKUP(D132,[2]OECD_COUNTERDO_INCOME!A:B,2,0),0)</f>
        <v>2.8079999999999998</v>
      </c>
      <c r="I132" s="7" t="e">
        <f>+VLOOKUP(E132,'[2]CBC- IRS'!A:L,6,0)/1000000</f>
        <v>#N/A</v>
      </c>
      <c r="J132" s="7">
        <f t="shared" si="21"/>
        <v>-2.8079999999999998</v>
      </c>
      <c r="K132" s="8"/>
      <c r="L132" s="7"/>
      <c r="M132" s="7"/>
      <c r="N132" s="7"/>
      <c r="O132" s="7"/>
      <c r="P132" s="6">
        <f t="shared" si="23"/>
        <v>0</v>
      </c>
      <c r="Q132" s="7">
        <f>+IFERROR(IFERROR(VLOOKUP(D132,[2]IMF_fdi_credit_debitinc!$A:$C,2,0),VLOOKUP(O132,[2]IMF_fdi_credit_debitinc!$A:$C,2,0)),0)/1000000</f>
        <v>0</v>
      </c>
      <c r="R132" s="7">
        <f>+IFERROR(VLOOKUP(D132,[2]OECD_COUNTERDI_INCOME!A:B,2,0),0)</f>
        <v>0</v>
      </c>
      <c r="S132" s="7">
        <f t="shared" si="22"/>
        <v>0</v>
      </c>
      <c r="T132" s="206"/>
    </row>
    <row r="133" spans="1:20" ht="14.25" customHeight="1" x14ac:dyDescent="0.35">
      <c r="D133" s="1" t="str">
        <f>+IFERROR(IFERROR(VLOOKUP(A133,[7]Sheet1!$A$1:$C$65536,3,0),VLOOKUP(E133,[7]Sheet1!$A$1:$C$65536,3,0)),VLOOKUP(B133,[7]Sheet1!$A$1:$C$65536,3,0))</f>
        <v>GEO</v>
      </c>
      <c r="E133" s="205" t="s">
        <v>189</v>
      </c>
      <c r="F133" s="6">
        <f t="shared" si="20"/>
        <v>1307.03</v>
      </c>
      <c r="G133" s="7">
        <f>+IFERROR(IFERROR(VLOOKUP(D133,[2]IMF_fdi_credit_debitinc!$A:$C,3,0),VLOOKUP(E133,[2]IMF_fdi_credit_debitinc!$A:$C,3,0)),0)/1000000</f>
        <v>1307.03</v>
      </c>
      <c r="H133" s="7">
        <f>+IFERROR(VLOOKUP(D133,[2]OECD_COUNTERDO_INCOME!A:B,2,0),0)</f>
        <v>120.039</v>
      </c>
      <c r="I133" s="7">
        <f>+VLOOKUP(E133,'[2]CBC- IRS'!A:L,6,0)/1000000</f>
        <v>2.5204749999999999E-3</v>
      </c>
      <c r="J133" s="7">
        <f t="shared" si="21"/>
        <v>1186.991</v>
      </c>
      <c r="K133" s="8"/>
      <c r="L133" s="7"/>
      <c r="M133" s="7"/>
      <c r="N133" s="7"/>
      <c r="O133" s="7"/>
      <c r="P133" s="6">
        <f t="shared" si="23"/>
        <v>252.166</v>
      </c>
      <c r="Q133" s="7">
        <f>+IFERROR(IFERROR(VLOOKUP(D133,[2]IMF_fdi_credit_debitinc!$A:$C,2,0),VLOOKUP(O133,[2]IMF_fdi_credit_debitinc!$A:$C,2,0)),0)/1000000</f>
        <v>252.166</v>
      </c>
      <c r="R133" s="7">
        <f>+IFERROR(VLOOKUP(D133,[2]OECD_COUNTERDI_INCOME!A:B,2,0),0)</f>
        <v>23.564</v>
      </c>
      <c r="S133" s="7">
        <f t="shared" si="22"/>
        <v>228.602</v>
      </c>
      <c r="T133" s="206"/>
    </row>
    <row r="134" spans="1:20" ht="14.25" customHeight="1" x14ac:dyDescent="0.35">
      <c r="D134" s="1" t="str">
        <f>+IFERROR(IFERROR(VLOOKUP(A134,[7]Sheet1!$A$1:$C$65536,3,0),VLOOKUP(E134,[7]Sheet1!$A$1:$C$65536,3,0)),VLOOKUP(B134,[7]Sheet1!$A$1:$C$65536,3,0))</f>
        <v>GHA</v>
      </c>
      <c r="E134" s="205" t="s">
        <v>190</v>
      </c>
      <c r="F134" s="6">
        <f t="shared" si="20"/>
        <v>0</v>
      </c>
      <c r="G134" s="7">
        <f>+IFERROR(IFERROR(VLOOKUP(D134,[2]IMF_fdi_credit_debitinc!$A:$C,3,0),VLOOKUP(E134,[2]IMF_fdi_credit_debitinc!$A:$C,3,0)),0)/1000000</f>
        <v>0</v>
      </c>
      <c r="H134" s="7">
        <f>+IFERROR(VLOOKUP(D134,[2]OECD_COUNTERDO_INCOME!A:B,2,0),0)</f>
        <v>537.452</v>
      </c>
      <c r="I134" s="7">
        <f>+VLOOKUP(E134,'[2]CBC- IRS'!A:L,6,0)/1000000</f>
        <v>0.59694292700000007</v>
      </c>
      <c r="J134" s="7">
        <f t="shared" si="21"/>
        <v>-537.452</v>
      </c>
      <c r="K134" s="8"/>
      <c r="L134" s="7"/>
      <c r="M134" s="7"/>
      <c r="N134" s="7"/>
      <c r="O134" s="7"/>
      <c r="P134" s="6">
        <f t="shared" si="23"/>
        <v>0</v>
      </c>
      <c r="Q134" s="7">
        <f>+IFERROR(IFERROR(VLOOKUP(D134,[2]IMF_fdi_credit_debitinc!$A:$C,2,0),VLOOKUP(O134,[2]IMF_fdi_credit_debitinc!$A:$C,2,0)),0)/1000000</f>
        <v>0</v>
      </c>
      <c r="R134" s="7">
        <f>+IFERROR(VLOOKUP(D134,[2]OECD_COUNTERDI_INCOME!A:B,2,0),0)</f>
        <v>2.4630000000000001</v>
      </c>
      <c r="S134" s="7">
        <f t="shared" si="22"/>
        <v>-2.4630000000000001</v>
      </c>
      <c r="T134" s="206"/>
    </row>
    <row r="135" spans="1:20" ht="14.25" customHeight="1" x14ac:dyDescent="0.35">
      <c r="D135" s="1" t="str">
        <f>+IFERROR(IFERROR(VLOOKUP(A135,[7]Sheet1!$A$1:$C$65536,3,0),VLOOKUP(E135,[7]Sheet1!$A$1:$C$65536,3,0)),VLOOKUP(B135,[7]Sheet1!$A$1:$C$65536,3,0))</f>
        <v>GRD</v>
      </c>
      <c r="E135" s="205" t="s">
        <v>98</v>
      </c>
      <c r="F135" s="6">
        <f t="shared" si="20"/>
        <v>0</v>
      </c>
      <c r="G135" s="7">
        <f>+IFERROR(IFERROR(VLOOKUP(D135,[2]IMF_fdi_credit_debitinc!$A:$C,3,0),VLOOKUP(E135,[2]IMF_fdi_credit_debitinc!$A:$C,3,0)),0)/1000000</f>
        <v>0</v>
      </c>
      <c r="H135" s="7">
        <f>+IFERROR(VLOOKUP(D135,[2]OECD_COUNTERDO_INCOME!A:B,2,0),0)</f>
        <v>4</v>
      </c>
      <c r="I135" s="7" t="e">
        <f>+VLOOKUP(E135,'[2]CBC- IRS'!A:L,6,0)/1000000</f>
        <v>#N/A</v>
      </c>
      <c r="J135" s="7">
        <f t="shared" si="21"/>
        <v>-4</v>
      </c>
      <c r="K135" s="8"/>
      <c r="L135" s="7"/>
      <c r="M135" s="7"/>
      <c r="N135" s="7"/>
      <c r="O135" s="7"/>
      <c r="P135" s="6">
        <f t="shared" si="23"/>
        <v>0</v>
      </c>
      <c r="Q135" s="7">
        <f>+IFERROR(IFERROR(VLOOKUP(D135,[2]IMF_fdi_credit_debitinc!$A:$C,2,0),VLOOKUP(O135,[2]IMF_fdi_credit_debitinc!$A:$C,2,0)),0)/1000000</f>
        <v>0</v>
      </c>
      <c r="R135" s="7">
        <f>+IFERROR(VLOOKUP(D135,[2]OECD_COUNTERDI_INCOME!A:B,2,0),0)</f>
        <v>0</v>
      </c>
      <c r="S135" s="7">
        <f t="shared" si="22"/>
        <v>0</v>
      </c>
      <c r="T135" s="206"/>
    </row>
    <row r="136" spans="1:20" ht="14.25" customHeight="1" x14ac:dyDescent="0.35">
      <c r="D136" s="1" t="str">
        <f>+IFERROR(IFERROR(VLOOKUP(A136,[7]Sheet1!$A$1:$C$65536,3,0),VLOOKUP(E136,[7]Sheet1!$A$1:$C$65536,3,0)),VLOOKUP(B136,[7]Sheet1!$A$1:$C$65536,3,0))</f>
        <v>GTM</v>
      </c>
      <c r="E136" s="205" t="s">
        <v>191</v>
      </c>
      <c r="F136" s="6">
        <f t="shared" si="20"/>
        <v>1301.94</v>
      </c>
      <c r="G136" s="7">
        <f>+IFERROR(IFERROR(VLOOKUP(D136,[2]IMF_fdi_credit_debitinc!$A:$C,3,0),VLOOKUP(E136,[2]IMF_fdi_credit_debitinc!$A:$C,3,0)),0)/1000000</f>
        <v>1301.94</v>
      </c>
      <c r="H136" s="7">
        <f>+IFERROR(VLOOKUP(D136,[2]OECD_COUNTERDO_INCOME!A:B,2,0),0)</f>
        <v>210.066</v>
      </c>
      <c r="I136" s="7">
        <f>+VLOOKUP(E136,'[2]CBC- IRS'!A:L,6,0)/1000000</f>
        <v>0.324473073</v>
      </c>
      <c r="J136" s="7">
        <f t="shared" si="21"/>
        <v>1091.874</v>
      </c>
      <c r="K136" s="8"/>
      <c r="L136" s="7"/>
      <c r="M136" s="7"/>
      <c r="N136" s="7"/>
      <c r="O136" s="7"/>
      <c r="P136" s="6">
        <f t="shared" si="23"/>
        <v>210.58500000000001</v>
      </c>
      <c r="Q136" s="7">
        <f>+IFERROR(IFERROR(VLOOKUP(D136,[2]IMF_fdi_credit_debitinc!$A:$C,2,0),VLOOKUP(O136,[2]IMF_fdi_credit_debitinc!$A:$C,2,0)),0)/1000000</f>
        <v>210.58500000000001</v>
      </c>
      <c r="R136" s="7">
        <f>+IFERROR(VLOOKUP(D136,[2]OECD_COUNTERDI_INCOME!A:B,2,0),0)</f>
        <v>60.213999999999999</v>
      </c>
      <c r="S136" s="7">
        <f t="shared" si="22"/>
        <v>150.37100000000001</v>
      </c>
      <c r="T136" s="206"/>
    </row>
    <row r="137" spans="1:20" ht="14.25" customHeight="1" x14ac:dyDescent="0.35">
      <c r="B137" s="16"/>
      <c r="D137" s="1" t="str">
        <f>+IFERROR(IFERROR(VLOOKUP(A137,[7]Sheet1!$A$1:$C$65536,3,0),VLOOKUP(E137,[7]Sheet1!$A$1:$C$65536,3,0)),VLOOKUP(B137,[7]Sheet1!$A$1:$C$65536,3,0))</f>
        <v>GIN</v>
      </c>
      <c r="E137" s="205" t="s">
        <v>192</v>
      </c>
      <c r="F137" s="6">
        <f t="shared" si="20"/>
        <v>0</v>
      </c>
      <c r="G137" s="7">
        <f>+IFERROR(IFERROR(VLOOKUP(D137,[2]IMF_fdi_credit_debitinc!$A:$C,3,0),VLOOKUP(E137,[2]IMF_fdi_credit_debitinc!$A:$C,3,0)),0)/1000000</f>
        <v>0</v>
      </c>
      <c r="H137" s="7">
        <f>+IFERROR(VLOOKUP(D137,[2]OECD_COUNTERDO_INCOME!A:B,2,0),0)</f>
        <v>58.320999999999998</v>
      </c>
      <c r="I137" s="7" t="e">
        <f>+VLOOKUP(E137,'[2]CBC- IRS'!A:L,6,0)/1000000</f>
        <v>#N/A</v>
      </c>
      <c r="J137" s="7">
        <f t="shared" si="21"/>
        <v>-58.320999999999998</v>
      </c>
      <c r="K137" s="8"/>
      <c r="L137" s="7"/>
      <c r="M137" s="7"/>
      <c r="N137" s="7"/>
      <c r="O137" s="7"/>
      <c r="P137" s="6">
        <f t="shared" si="23"/>
        <v>0</v>
      </c>
      <c r="Q137" s="7">
        <f>+IFERROR(IFERROR(VLOOKUP(D137,[2]IMF_fdi_credit_debitinc!$A:$C,2,0),VLOOKUP(O137,[2]IMF_fdi_credit_debitinc!$A:$C,2,0)),0)/1000000</f>
        <v>0</v>
      </c>
      <c r="R137" s="7">
        <f>+IFERROR(VLOOKUP(D137,[2]OECD_COUNTERDI_INCOME!A:B,2,0),0)</f>
        <v>3.2000000000000001E-2</v>
      </c>
      <c r="S137" s="7">
        <f t="shared" si="22"/>
        <v>-3.2000000000000001E-2</v>
      </c>
      <c r="T137" s="206"/>
    </row>
    <row r="138" spans="1:20" ht="14.25" customHeight="1" x14ac:dyDescent="0.35">
      <c r="A138" s="14" t="s">
        <v>193</v>
      </c>
      <c r="B138" s="15" t="s">
        <v>194</v>
      </c>
      <c r="D138" s="1" t="str">
        <f>+IFERROR(IFERROR(VLOOKUP(A138,[7]Sheet1!$A$1:$C$65536,3,0),VLOOKUP(E138,[7]Sheet1!$A$1:$C$65536,3,0)),VLOOKUP(B138,[7]Sheet1!$A$1:$C$65536,3,0))</f>
        <v>GNB</v>
      </c>
      <c r="E138" s="205" t="s">
        <v>193</v>
      </c>
      <c r="F138" s="6">
        <f t="shared" si="20"/>
        <v>0</v>
      </c>
      <c r="G138" s="7">
        <f>+IFERROR(IFERROR(VLOOKUP(D138,[2]IMF_fdi_credit_debitinc!$A:$C,3,0),VLOOKUP(E138,[2]IMF_fdi_credit_debitinc!$A:$C,3,0)),0)/1000000</f>
        <v>0</v>
      </c>
      <c r="H138" s="7">
        <f>+IFERROR(VLOOKUP(D138,[2]OECD_COUNTERDO_INCOME!A:B,2,0),0)</f>
        <v>4.7E-2</v>
      </c>
      <c r="I138" s="7" t="e">
        <f>+VLOOKUP(E138,'[2]CBC- IRS'!A:L,6,0)/1000000</f>
        <v>#N/A</v>
      </c>
      <c r="J138" s="7">
        <f t="shared" si="21"/>
        <v>-4.7E-2</v>
      </c>
      <c r="K138" s="8"/>
      <c r="L138" s="7"/>
      <c r="M138" s="7"/>
      <c r="N138" s="7"/>
      <c r="O138" s="7"/>
      <c r="P138" s="6">
        <f t="shared" si="23"/>
        <v>0</v>
      </c>
      <c r="Q138" s="7">
        <f>+IFERROR(IFERROR(VLOOKUP(D138,[2]IMF_fdi_credit_debitinc!$A:$C,2,0),VLOOKUP(O138,[2]IMF_fdi_credit_debitinc!$A:$C,2,0)),0)/1000000</f>
        <v>0</v>
      </c>
      <c r="R138" s="7">
        <f>+IFERROR(VLOOKUP(D138,[2]OECD_COUNTERDI_INCOME!A:B,2,0),0)</f>
        <v>2.1999999999999999E-2</v>
      </c>
      <c r="S138" s="7">
        <f t="shared" si="22"/>
        <v>-2.1999999999999999E-2</v>
      </c>
      <c r="T138" s="206"/>
    </row>
    <row r="139" spans="1:20" ht="14.25" customHeight="1" x14ac:dyDescent="0.35">
      <c r="D139" s="1" t="str">
        <f>+IFERROR(IFERROR(VLOOKUP(A139,[7]Sheet1!$A$1:$C$65536,3,0),VLOOKUP(E139,[7]Sheet1!$A$1:$C$65536,3,0)),VLOOKUP(B139,[7]Sheet1!$A$1:$C$65536,3,0))</f>
        <v>GUY</v>
      </c>
      <c r="E139" s="205" t="s">
        <v>195</v>
      </c>
      <c r="F139" s="6">
        <f t="shared" si="20"/>
        <v>0</v>
      </c>
      <c r="G139" s="7">
        <f>+IFERROR(IFERROR(VLOOKUP(D139,[2]IMF_fdi_credit_debitinc!$A:$C,3,0),VLOOKUP(E139,[2]IMF_fdi_credit_debitinc!$A:$C,3,0)),0)/1000000</f>
        <v>0</v>
      </c>
      <c r="H139" s="7">
        <f>+IFERROR(VLOOKUP(D139,[2]OECD_COUNTERDO_INCOME!A:B,2,0),0)</f>
        <v>2.2389999999999999</v>
      </c>
      <c r="I139" s="7" t="e">
        <f>+VLOOKUP(E139,'[2]CBC- IRS'!A:L,6,0)/1000000</f>
        <v>#N/A</v>
      </c>
      <c r="J139" s="7">
        <f t="shared" si="21"/>
        <v>-2.2389999999999999</v>
      </c>
      <c r="K139" s="8"/>
      <c r="L139" s="7"/>
      <c r="M139" s="7"/>
      <c r="N139" s="7"/>
      <c r="O139" s="7"/>
      <c r="P139" s="6">
        <f t="shared" si="23"/>
        <v>0</v>
      </c>
      <c r="Q139" s="7">
        <f>+IFERROR(IFERROR(VLOOKUP(D139,[2]IMF_fdi_credit_debitinc!$A:$C,2,0),VLOOKUP(O139,[2]IMF_fdi_credit_debitinc!$A:$C,2,0)),0)/1000000</f>
        <v>0</v>
      </c>
      <c r="R139" s="7">
        <f>+IFERROR(VLOOKUP(D139,[2]OECD_COUNTERDI_INCOME!A:B,2,0),0)</f>
        <v>0.308</v>
      </c>
      <c r="S139" s="7">
        <f t="shared" si="22"/>
        <v>-0.308</v>
      </c>
      <c r="T139" s="206"/>
    </row>
    <row r="140" spans="1:20" ht="14.25" customHeight="1" x14ac:dyDescent="0.35">
      <c r="D140" s="1" t="str">
        <f>+IFERROR(IFERROR(VLOOKUP(A140,[7]Sheet1!$A$1:$C$65536,3,0),VLOOKUP(E140,[7]Sheet1!$A$1:$C$65536,3,0)),VLOOKUP(B140,[7]Sheet1!$A$1:$C$65536,3,0))</f>
        <v>HTI</v>
      </c>
      <c r="E140" s="205" t="s">
        <v>196</v>
      </c>
      <c r="F140" s="6">
        <f t="shared" si="20"/>
        <v>0</v>
      </c>
      <c r="G140" s="7">
        <f>+IFERROR(IFERROR(VLOOKUP(D140,[2]IMF_fdi_credit_debitinc!$A:$C,3,0),VLOOKUP(E140,[2]IMF_fdi_credit_debitinc!$A:$C,3,0)),0)/1000000</f>
        <v>0</v>
      </c>
      <c r="H140" s="7">
        <f>+IFERROR(VLOOKUP(D140,[2]OECD_COUNTERDO_INCOME!A:B,2,0),0)</f>
        <v>-7.5209999999999999</v>
      </c>
      <c r="I140" s="7" t="e">
        <f>+VLOOKUP(E140,'[2]CBC- IRS'!A:L,6,0)/1000000</f>
        <v>#N/A</v>
      </c>
      <c r="J140" s="7">
        <f t="shared" si="21"/>
        <v>7.5209999999999999</v>
      </c>
      <c r="K140" s="8"/>
      <c r="L140" s="7"/>
      <c r="M140" s="7"/>
      <c r="N140" s="7"/>
      <c r="O140" s="7"/>
      <c r="P140" s="6">
        <f t="shared" si="23"/>
        <v>0</v>
      </c>
      <c r="Q140" s="7">
        <f>+IFERROR(IFERROR(VLOOKUP(D140,[2]IMF_fdi_credit_debitinc!$A:$C,2,0),VLOOKUP(O140,[2]IMF_fdi_credit_debitinc!$A:$C,2,0)),0)/1000000</f>
        <v>0</v>
      </c>
      <c r="R140" s="7">
        <f>+IFERROR(VLOOKUP(D140,[2]OECD_COUNTERDI_INCOME!A:B,2,0),0)</f>
        <v>0</v>
      </c>
      <c r="S140" s="7">
        <f t="shared" si="22"/>
        <v>0</v>
      </c>
      <c r="T140" s="206"/>
    </row>
    <row r="141" spans="1:20" ht="14.25" customHeight="1" x14ac:dyDescent="0.35">
      <c r="D141" s="1" t="str">
        <f>+IFERROR(IFERROR(VLOOKUP(A141,[7]Sheet1!$A$1:$C$65536,3,0),VLOOKUP(E141,[7]Sheet1!$A$1:$C$65536,3,0)),VLOOKUP(B141,[7]Sheet1!$A$1:$C$65536,3,0))</f>
        <v>HND</v>
      </c>
      <c r="E141" s="205" t="s">
        <v>197</v>
      </c>
      <c r="F141" s="6">
        <f t="shared" si="20"/>
        <v>1345.83</v>
      </c>
      <c r="G141" s="7">
        <f>+IFERROR(IFERROR(VLOOKUP(D141,[2]IMF_fdi_credit_debitinc!$A:$C,3,0),VLOOKUP(E141,[2]IMF_fdi_credit_debitinc!$A:$C,3,0)),0)/1000000</f>
        <v>1345.83</v>
      </c>
      <c r="H141" s="7">
        <f>+IFERROR(VLOOKUP(D141,[2]OECD_COUNTERDO_INCOME!A:B,2,0),0)</f>
        <v>340.34800000000001</v>
      </c>
      <c r="I141" s="7">
        <f>+VLOOKUP(E141,'[2]CBC- IRS'!A:L,6,0)/1000000</f>
        <v>0.39518808899999996</v>
      </c>
      <c r="J141" s="7">
        <f t="shared" si="21"/>
        <v>1005.482</v>
      </c>
      <c r="K141" s="8"/>
      <c r="L141" s="7"/>
      <c r="M141" s="7"/>
      <c r="N141" s="7"/>
      <c r="O141" s="7"/>
      <c r="P141" s="6">
        <f t="shared" si="23"/>
        <v>2.1</v>
      </c>
      <c r="Q141" s="7">
        <f>+IFERROR(IFERROR(VLOOKUP(D141,[2]IMF_fdi_credit_debitinc!$A:$C,2,0),VLOOKUP(O141,[2]IMF_fdi_credit_debitinc!$A:$C,2,0)),0)/1000000</f>
        <v>2.1</v>
      </c>
      <c r="R141" s="7">
        <f>+IFERROR(VLOOKUP(D141,[2]OECD_COUNTERDI_INCOME!A:B,2,0),0)</f>
        <v>2E-3</v>
      </c>
      <c r="S141" s="7">
        <f t="shared" si="22"/>
        <v>2.0980000000000003</v>
      </c>
      <c r="T141" s="206"/>
    </row>
    <row r="142" spans="1:20" ht="14.25" customHeight="1" x14ac:dyDescent="0.35">
      <c r="D142" s="1" t="str">
        <f>+IFERROR(IFERROR(VLOOKUP(A142,[7]Sheet1!$A$1:$C$65536,3,0),VLOOKUP(E142,[7]Sheet1!$A$1:$C$65536,3,0)),VLOOKUP(B142,[7]Sheet1!$A$1:$C$65536,3,0))</f>
        <v>IDN</v>
      </c>
      <c r="E142" s="205" t="s">
        <v>198</v>
      </c>
      <c r="F142" s="6">
        <f t="shared" si="20"/>
        <v>21690.9</v>
      </c>
      <c r="G142" s="7">
        <f>+IFERROR(IFERROR(VLOOKUP(D142,[2]IMF_fdi_credit_debitinc!$A:$C,3,0),VLOOKUP(E142,[2]IMF_fdi_credit_debitinc!$A:$C,3,0)),0)/1000000</f>
        <v>21690.9</v>
      </c>
      <c r="H142" s="7">
        <f>+IFERROR(VLOOKUP(D142,[2]OECD_COUNTERDO_INCOME!A:B,2,0),0)</f>
        <v>6181.5370000000003</v>
      </c>
      <c r="I142" s="7">
        <f>+VLOOKUP(E142,'[2]CBC- IRS'!A:L,6,0)/1000000</f>
        <v>2.8534030269999997</v>
      </c>
      <c r="J142" s="7">
        <f t="shared" si="21"/>
        <v>15509.363000000001</v>
      </c>
      <c r="K142" s="8"/>
      <c r="L142" s="7"/>
      <c r="M142" s="7"/>
      <c r="N142" s="7"/>
      <c r="O142" s="7"/>
      <c r="P142" s="6">
        <f t="shared" si="23"/>
        <v>3410.59</v>
      </c>
      <c r="Q142" s="7">
        <f>+IFERROR(IFERROR(VLOOKUP(D142,[2]IMF_fdi_credit_debitinc!$A:$C,2,0),VLOOKUP(O142,[2]IMF_fdi_credit_debitinc!$A:$C,2,0)),0)/1000000</f>
        <v>3410.59</v>
      </c>
      <c r="R142" s="7">
        <f>+IFERROR(VLOOKUP(D142,[2]OECD_COUNTERDI_INCOME!A:B,2,0),0)</f>
        <v>207</v>
      </c>
      <c r="S142" s="7">
        <f t="shared" si="22"/>
        <v>3203.59</v>
      </c>
      <c r="T142" s="206"/>
    </row>
    <row r="143" spans="1:20" ht="14.25" customHeight="1" x14ac:dyDescent="0.35">
      <c r="B143" s="13" t="s">
        <v>199</v>
      </c>
      <c r="D143" s="1" t="str">
        <f>+IFERROR(IFERROR(VLOOKUP(A143,[7]Sheet1!$A$1:$C$65536,3,0),VLOOKUP(E143,[7]Sheet1!$A$1:$C$65536,3,0)),VLOOKUP(B143,[7]Sheet1!$A$1:$C$65536,3,0))</f>
        <v>IRN</v>
      </c>
      <c r="E143" s="205" t="s">
        <v>200</v>
      </c>
      <c r="F143" s="6">
        <f t="shared" si="20"/>
        <v>0</v>
      </c>
      <c r="G143" s="7">
        <f>+IFERROR(IFERROR(VLOOKUP(D143,[2]IMF_fdi_credit_debitinc!$A:$C,3,0),VLOOKUP(E143,[2]IMF_fdi_credit_debitinc!$A:$C,3,0)),0)/1000000</f>
        <v>0</v>
      </c>
      <c r="H143" s="7">
        <f>+IFERROR(VLOOKUP(D143,[2]OECD_COUNTERDO_INCOME!A:B,2,0),0)</f>
        <v>65.358999999999995</v>
      </c>
      <c r="I143" s="7" t="e">
        <f>+VLOOKUP(E143,'[2]CBC- IRS'!A:L,6,0)/1000000</f>
        <v>#N/A</v>
      </c>
      <c r="J143" s="7">
        <f t="shared" si="21"/>
        <v>-65.358999999999995</v>
      </c>
      <c r="K143" s="8"/>
      <c r="L143" s="7"/>
      <c r="M143" s="7"/>
      <c r="N143" s="7"/>
      <c r="O143" s="7"/>
      <c r="P143" s="6">
        <f t="shared" si="23"/>
        <v>0</v>
      </c>
      <c r="Q143" s="7">
        <f>+IFERROR(IFERROR(VLOOKUP(D143,[2]IMF_fdi_credit_debitinc!$A:$C,2,0),VLOOKUP(O143,[2]IMF_fdi_credit_debitinc!$A:$C,2,0)),0)/1000000</f>
        <v>0</v>
      </c>
      <c r="R143" s="7">
        <f>+IFERROR(VLOOKUP(D143,[2]OECD_COUNTERDI_INCOME!A:B,2,0),0)</f>
        <v>-142.227</v>
      </c>
      <c r="S143" s="7">
        <f t="shared" si="22"/>
        <v>142.227</v>
      </c>
      <c r="T143" s="206"/>
    </row>
    <row r="144" spans="1:20" ht="14.25" customHeight="1" x14ac:dyDescent="0.35">
      <c r="D144" s="1" t="str">
        <f>+IFERROR(IFERROR(VLOOKUP(A144,[7]Sheet1!$A$1:$C$65536,3,0),VLOOKUP(E144,[7]Sheet1!$A$1:$C$65536,3,0)),VLOOKUP(B144,[7]Sheet1!$A$1:$C$65536,3,0))</f>
        <v>IRQ</v>
      </c>
      <c r="E144" s="205" t="s">
        <v>201</v>
      </c>
      <c r="F144" s="6">
        <f t="shared" si="20"/>
        <v>0</v>
      </c>
      <c r="G144" s="7">
        <f>+IFERROR(IFERROR(VLOOKUP(D144,[2]IMF_fdi_credit_debitinc!$A:$C,3,0),VLOOKUP(E144,[2]IMF_fdi_credit_debitinc!$A:$C,3,0)),0)/1000000</f>
        <v>0</v>
      </c>
      <c r="H144" s="7">
        <f>+IFERROR(VLOOKUP(D144,[2]OECD_COUNTERDO_INCOME!A:B,2,0),0)</f>
        <v>387.95600000000002</v>
      </c>
      <c r="I144" s="7">
        <f>+VLOOKUP(E144,'[2]CBC- IRS'!A:L,6,0)/1000000</f>
        <v>0.49211896599999999</v>
      </c>
      <c r="J144" s="7">
        <f t="shared" si="21"/>
        <v>-387.95600000000002</v>
      </c>
      <c r="K144" s="8"/>
      <c r="L144" s="7"/>
      <c r="M144" s="7"/>
      <c r="N144" s="7"/>
      <c r="O144" s="7"/>
      <c r="P144" s="6">
        <f t="shared" si="23"/>
        <v>0</v>
      </c>
      <c r="Q144" s="7">
        <f>+IFERROR(IFERROR(VLOOKUP(D144,[2]IMF_fdi_credit_debitinc!$A:$C,2,0),VLOOKUP(O144,[2]IMF_fdi_credit_debitinc!$A:$C,2,0)),0)/1000000</f>
        <v>0</v>
      </c>
      <c r="R144" s="7">
        <f>+IFERROR(VLOOKUP(D144,[2]OECD_COUNTERDI_INCOME!A:B,2,0),0)</f>
        <v>5.0999999999999997E-2</v>
      </c>
      <c r="S144" s="7">
        <f t="shared" si="22"/>
        <v>-5.0999999999999997E-2</v>
      </c>
      <c r="T144" s="206"/>
    </row>
    <row r="145" spans="1:20" ht="14.25" customHeight="1" x14ac:dyDescent="0.35">
      <c r="D145" s="1" t="str">
        <f>+IFERROR(IFERROR(VLOOKUP(A145,[7]Sheet1!$A$1:$C$65536,3,0),VLOOKUP(E145,[7]Sheet1!$A$1:$C$65536,3,0)),VLOOKUP(B145,[7]Sheet1!$A$1:$C$65536,3,0))</f>
        <v>JAM</v>
      </c>
      <c r="E145" s="205" t="s">
        <v>202</v>
      </c>
      <c r="F145" s="6">
        <f t="shared" si="20"/>
        <v>0</v>
      </c>
      <c r="G145" s="7">
        <f>+IFERROR(IFERROR(VLOOKUP(D145,[2]IMF_fdi_credit_debitinc!$A:$C,3,0),VLOOKUP(E145,[2]IMF_fdi_credit_debitinc!$A:$C,3,0)),0)/1000000</f>
        <v>0</v>
      </c>
      <c r="H145" s="7">
        <f>+IFERROR(VLOOKUP(D145,[2]OECD_COUNTERDO_INCOME!A:B,2,0),0)</f>
        <v>97.884</v>
      </c>
      <c r="I145" s="7">
        <f>+VLOOKUP(E145,'[2]CBC- IRS'!A:L,6,0)/1000000</f>
        <v>4.7377290999999995E-2</v>
      </c>
      <c r="J145" s="7">
        <f t="shared" si="21"/>
        <v>-97.884</v>
      </c>
      <c r="K145" s="8"/>
      <c r="L145" s="7"/>
      <c r="M145" s="7"/>
      <c r="N145" s="7"/>
      <c r="O145" s="7"/>
      <c r="P145" s="6">
        <f t="shared" si="23"/>
        <v>0</v>
      </c>
      <c r="Q145" s="7">
        <f>+IFERROR(IFERROR(VLOOKUP(D145,[2]IMF_fdi_credit_debitinc!$A:$C,2,0),VLOOKUP(O145,[2]IMF_fdi_credit_debitinc!$A:$C,2,0)),0)/1000000</f>
        <v>0</v>
      </c>
      <c r="R145" s="7">
        <f>+IFERROR(VLOOKUP(D145,[2]OECD_COUNTERDI_INCOME!A:B,2,0),0)</f>
        <v>-0.26700000000000002</v>
      </c>
      <c r="S145" s="7">
        <f t="shared" si="22"/>
        <v>0.26700000000000002</v>
      </c>
      <c r="T145" s="206"/>
    </row>
    <row r="146" spans="1:20" ht="14.25" customHeight="1" x14ac:dyDescent="0.35">
      <c r="D146" s="1" t="str">
        <f>+IFERROR(IFERROR(VLOOKUP(A146,[7]Sheet1!$A$1:$C$65536,3,0),VLOOKUP(E146,[7]Sheet1!$A$1:$C$65536,3,0)),VLOOKUP(B146,[7]Sheet1!$A$1:$C$65536,3,0))</f>
        <v>JOR</v>
      </c>
      <c r="E146" s="205" t="s">
        <v>203</v>
      </c>
      <c r="F146" s="6">
        <f t="shared" si="20"/>
        <v>0</v>
      </c>
      <c r="G146" s="7">
        <f>+IFERROR(IFERROR(VLOOKUP(D146,[2]IMF_fdi_credit_debitinc!$A:$C,3,0),VLOOKUP(E146,[2]IMF_fdi_credit_debitinc!$A:$C,3,0)),0)/1000000</f>
        <v>0</v>
      </c>
      <c r="H146" s="7">
        <f>+IFERROR(VLOOKUP(D146,[2]OECD_COUNTERDO_INCOME!A:B,2,0),0)</f>
        <v>81.311999999999998</v>
      </c>
      <c r="I146" s="7">
        <f>+VLOOKUP(E146,'[2]CBC- IRS'!A:L,6,0)/1000000</f>
        <v>0.3062243</v>
      </c>
      <c r="J146" s="7">
        <f t="shared" si="21"/>
        <v>-81.311999999999998</v>
      </c>
      <c r="K146" s="8"/>
      <c r="L146" s="7"/>
      <c r="M146" s="7"/>
      <c r="N146" s="7"/>
      <c r="O146" s="7"/>
      <c r="P146" s="6">
        <f t="shared" si="23"/>
        <v>0</v>
      </c>
      <c r="Q146" s="7">
        <f>+IFERROR(IFERROR(VLOOKUP(D146,[2]IMF_fdi_credit_debitinc!$A:$C,2,0),VLOOKUP(O146,[2]IMF_fdi_credit_debitinc!$A:$C,2,0)),0)/1000000</f>
        <v>0</v>
      </c>
      <c r="R146" s="7">
        <f>+IFERROR(VLOOKUP(D146,[2]OECD_COUNTERDI_INCOME!A:B,2,0),0)</f>
        <v>2.4460000000000002</v>
      </c>
      <c r="S146" s="7">
        <f t="shared" si="22"/>
        <v>-2.4460000000000002</v>
      </c>
      <c r="T146" s="206"/>
    </row>
    <row r="147" spans="1:20" ht="14.25" customHeight="1" x14ac:dyDescent="0.35">
      <c r="D147" s="1" t="str">
        <f>+IFERROR(IFERROR(VLOOKUP(A147,[7]Sheet1!$A$1:$C$65536,3,0),VLOOKUP(E147,[7]Sheet1!$A$1:$C$65536,3,0)),VLOOKUP(B147,[7]Sheet1!$A$1:$C$65536,3,0))</f>
        <v>KAZ</v>
      </c>
      <c r="E147" s="205" t="s">
        <v>204</v>
      </c>
      <c r="F147" s="6">
        <f t="shared" si="20"/>
        <v>20793.099999999999</v>
      </c>
      <c r="G147" s="7">
        <f>+IFERROR(IFERROR(VLOOKUP(D147,[2]IMF_fdi_credit_debitinc!$A:$C,3,0),VLOOKUP(E147,[2]IMF_fdi_credit_debitinc!$A:$C,3,0)),0)/1000000</f>
        <v>20793.099999999999</v>
      </c>
      <c r="H147" s="7">
        <f>+IFERROR(VLOOKUP(D147,[2]OECD_COUNTERDO_INCOME!A:B,2,0),0)</f>
        <v>836.85400000000004</v>
      </c>
      <c r="I147" s="7">
        <f>+VLOOKUP(E147,'[2]CBC- IRS'!A:L,6,0)/1000000</f>
        <v>0.49476743400000001</v>
      </c>
      <c r="J147" s="7">
        <f t="shared" si="21"/>
        <v>19956.245999999999</v>
      </c>
      <c r="K147" s="8"/>
      <c r="L147" s="7"/>
      <c r="M147" s="7"/>
      <c r="N147" s="7"/>
      <c r="O147" s="7"/>
      <c r="P147" s="6">
        <f t="shared" si="23"/>
        <v>653.46900000000005</v>
      </c>
      <c r="Q147" s="7">
        <f>+IFERROR(IFERROR(VLOOKUP(D147,[2]IMF_fdi_credit_debitinc!$A:$C,2,0),VLOOKUP(O147,[2]IMF_fdi_credit_debitinc!$A:$C,2,0)),0)/1000000</f>
        <v>653.46900000000005</v>
      </c>
      <c r="R147" s="7">
        <f>+IFERROR(VLOOKUP(D147,[2]OECD_COUNTERDI_INCOME!A:B,2,0),0)</f>
        <v>16.684000000000001</v>
      </c>
      <c r="S147" s="7">
        <f t="shared" si="22"/>
        <v>636.78500000000008</v>
      </c>
      <c r="T147" s="206"/>
    </row>
    <row r="148" spans="1:20" ht="14.25" customHeight="1" x14ac:dyDescent="0.35">
      <c r="D148" s="1" t="str">
        <f>+IFERROR(IFERROR(VLOOKUP(A148,[7]Sheet1!$A$1:$C$65536,3,0),VLOOKUP(E148,[7]Sheet1!$A$1:$C$65536,3,0)),VLOOKUP(B148,[7]Sheet1!$A$1:$C$65536,3,0))</f>
        <v>KEN</v>
      </c>
      <c r="E148" s="205" t="s">
        <v>205</v>
      </c>
      <c r="F148" s="6">
        <f t="shared" si="20"/>
        <v>0</v>
      </c>
      <c r="G148" s="7">
        <f>+IFERROR(IFERROR(VLOOKUP(D148,[2]IMF_fdi_credit_debitinc!$A:$C,3,0),VLOOKUP(E148,[2]IMF_fdi_credit_debitinc!$A:$C,3,0)),0)/1000000</f>
        <v>0</v>
      </c>
      <c r="H148" s="7">
        <f>+IFERROR(VLOOKUP(D148,[2]OECD_COUNTERDO_INCOME!A:B,2,0),0)</f>
        <v>129.55600000000001</v>
      </c>
      <c r="I148" s="7">
        <f>+VLOOKUP(E148,'[2]CBC- IRS'!A:L,6,0)/1000000</f>
        <v>0.13566086099999999</v>
      </c>
      <c r="J148" s="7">
        <f t="shared" si="21"/>
        <v>-129.55600000000001</v>
      </c>
      <c r="K148" s="8"/>
      <c r="L148" s="7"/>
      <c r="M148" s="7"/>
      <c r="N148" s="7"/>
      <c r="O148" s="7"/>
      <c r="P148" s="6">
        <f t="shared" si="23"/>
        <v>0</v>
      </c>
      <c r="Q148" s="7">
        <f>+IFERROR(IFERROR(VLOOKUP(D148,[2]IMF_fdi_credit_debitinc!$A:$C,2,0),VLOOKUP(O148,[2]IMF_fdi_credit_debitinc!$A:$C,2,0)),0)/1000000</f>
        <v>0</v>
      </c>
      <c r="R148" s="7">
        <f>+IFERROR(VLOOKUP(D148,[2]OECD_COUNTERDI_INCOME!A:B,2,0),0)</f>
        <v>16.247</v>
      </c>
      <c r="S148" s="7">
        <f t="shared" si="22"/>
        <v>-16.247</v>
      </c>
      <c r="T148" s="206"/>
    </row>
    <row r="149" spans="1:20" ht="14.25" customHeight="1" x14ac:dyDescent="0.35">
      <c r="B149" s="16"/>
      <c r="D149" s="1" t="str">
        <f>+IFERROR(IFERROR(VLOOKUP(A149,[7]Sheet1!$A$1:$C$65536,3,0),VLOOKUP(E149,[7]Sheet1!$A$1:$C$65536,3,0)),VLOOKUP(B149,[7]Sheet1!$A$1:$C$65536,3,0))</f>
        <v>KIR</v>
      </c>
      <c r="E149" s="205" t="s">
        <v>206</v>
      </c>
      <c r="F149" s="6">
        <f t="shared" si="20"/>
        <v>0</v>
      </c>
      <c r="G149" s="7">
        <f>+IFERROR(IFERROR(VLOOKUP(D149,[2]IMF_fdi_credit_debitinc!$A:$C,3,0),VLOOKUP(E149,[2]IMF_fdi_credit_debitinc!$A:$C,3,0)),0)/1000000</f>
        <v>0</v>
      </c>
      <c r="H149" s="7">
        <f>+IFERROR(VLOOKUP(D149,[2]OECD_COUNTERDO_INCOME!A:B,2,0),0)</f>
        <v>0</v>
      </c>
      <c r="I149" s="7" t="e">
        <f>+VLOOKUP(E149,'[2]CBC- IRS'!A:L,6,0)/1000000</f>
        <v>#N/A</v>
      </c>
      <c r="J149" s="7">
        <f t="shared" si="21"/>
        <v>0</v>
      </c>
      <c r="K149" s="8"/>
      <c r="L149" s="7"/>
      <c r="M149" s="7"/>
      <c r="N149" s="7"/>
      <c r="O149" s="7"/>
      <c r="P149" s="6">
        <f t="shared" si="23"/>
        <v>0</v>
      </c>
      <c r="Q149" s="7">
        <f>+IFERROR(IFERROR(VLOOKUP(D149,[2]IMF_fdi_credit_debitinc!$A:$C,2,0),VLOOKUP(O149,[2]IMF_fdi_credit_debitinc!$A:$C,2,0)),0)/1000000</f>
        <v>0</v>
      </c>
      <c r="R149" s="7">
        <f>+IFERROR(VLOOKUP(D149,[2]OECD_COUNTERDI_INCOME!A:B,2,0),0)</f>
        <v>0</v>
      </c>
      <c r="S149" s="7">
        <f t="shared" si="22"/>
        <v>0</v>
      </c>
      <c r="T149" s="206"/>
    </row>
    <row r="150" spans="1:20" ht="14.25" customHeight="1" x14ac:dyDescent="0.35">
      <c r="D150" s="1" t="e">
        <f>+IFERROR(IFERROR(VLOOKUP(A150,[7]Sheet1!$A$1:$C$65536,3,0),VLOOKUP(E150,[7]Sheet1!$A$1:$C$65536,3,0)),VLOOKUP(B150,[7]Sheet1!$A$1:$C$65536,3,0))</f>
        <v>#N/A</v>
      </c>
      <c r="E150" s="205" t="s">
        <v>207</v>
      </c>
      <c r="F150" s="6">
        <f t="shared" si="20"/>
        <v>0</v>
      </c>
      <c r="G150" s="7">
        <f>+IFERROR(IFERROR(VLOOKUP(D150,[2]IMF_fdi_credit_debitinc!$A:$C,3,0),VLOOKUP(E150,[2]IMF_fdi_credit_debitinc!$A:$C,3,0)),0)/1000000</f>
        <v>0</v>
      </c>
      <c r="H150" s="7">
        <f>+IFERROR(VLOOKUP(D150,[2]OECD_COUNTERDO_INCOME!A:B,2,0),0)</f>
        <v>0</v>
      </c>
      <c r="I150" s="7" t="e">
        <f>+VLOOKUP(E150,'[2]CBC- IRS'!A:L,6,0)/1000000</f>
        <v>#N/A</v>
      </c>
      <c r="J150" s="7">
        <f t="shared" si="21"/>
        <v>0</v>
      </c>
      <c r="K150" s="8"/>
      <c r="L150" s="7"/>
      <c r="M150" s="7"/>
      <c r="N150" s="7"/>
      <c r="O150" s="7"/>
      <c r="P150" s="6">
        <f t="shared" si="23"/>
        <v>0</v>
      </c>
      <c r="Q150" s="7">
        <f>+IFERROR(IFERROR(VLOOKUP(D150,[2]IMF_fdi_credit_debitinc!$A:$C,2,0),VLOOKUP(O150,[2]IMF_fdi_credit_debitinc!$A:$C,2,0)),0)/1000000</f>
        <v>0</v>
      </c>
      <c r="R150" s="7">
        <f>+IFERROR(VLOOKUP(D150,[2]OECD_COUNTERDI_INCOME!A:B,2,0),0)</f>
        <v>0</v>
      </c>
      <c r="S150" s="7">
        <f t="shared" si="22"/>
        <v>0</v>
      </c>
      <c r="T150" s="206"/>
    </row>
    <row r="151" spans="1:20" ht="14.25" customHeight="1" x14ac:dyDescent="0.35">
      <c r="D151" s="1" t="str">
        <f>+IFERROR(IFERROR(VLOOKUP(A151,[7]Sheet1!$A$1:$C$65536,3,0),VLOOKUP(E151,[7]Sheet1!$A$1:$C$65536,3,0)),VLOOKUP(B151,[7]Sheet1!$A$1:$C$65536,3,0))</f>
        <v>KWT</v>
      </c>
      <c r="E151" s="205" t="s">
        <v>208</v>
      </c>
      <c r="F151" s="6">
        <f t="shared" si="20"/>
        <v>0</v>
      </c>
      <c r="G151" s="7">
        <f>+IFERROR(IFERROR(VLOOKUP(D151,[2]IMF_fdi_credit_debitinc!$A:$C,3,0),VLOOKUP(E151,[2]IMF_fdi_credit_debitinc!$A:$C,3,0)),0)/1000000</f>
        <v>0</v>
      </c>
      <c r="H151" s="7">
        <f>+IFERROR(VLOOKUP(D151,[2]OECD_COUNTERDO_INCOME!A:B,2,0),0)</f>
        <v>384.49599999999998</v>
      </c>
      <c r="I151" s="7">
        <f>+VLOOKUP(E151,'[2]CBC- IRS'!A:L,6,0)/1000000</f>
        <v>2.8958308000000002E-2</v>
      </c>
      <c r="J151" s="7">
        <f t="shared" si="21"/>
        <v>-384.49599999999998</v>
      </c>
      <c r="K151" s="8"/>
      <c r="L151" s="7"/>
      <c r="M151" s="7"/>
      <c r="N151" s="7"/>
      <c r="O151" s="7"/>
      <c r="P151" s="6">
        <f t="shared" si="23"/>
        <v>0</v>
      </c>
      <c r="Q151" s="7">
        <f>+IFERROR(IFERROR(VLOOKUP(D151,[2]IMF_fdi_credit_debitinc!$A:$C,2,0),VLOOKUP(O151,[2]IMF_fdi_credit_debitinc!$A:$C,2,0)),0)/1000000</f>
        <v>0</v>
      </c>
      <c r="R151" s="7">
        <f>+IFERROR(VLOOKUP(D151,[2]OECD_COUNTERDI_INCOME!A:B,2,0),0)</f>
        <v>-31.068000000000001</v>
      </c>
      <c r="S151" s="7">
        <f t="shared" si="22"/>
        <v>31.068000000000001</v>
      </c>
      <c r="T151" s="206"/>
    </row>
    <row r="152" spans="1:20" ht="14.25" customHeight="1" x14ac:dyDescent="0.35">
      <c r="B152" s="13" t="s">
        <v>209</v>
      </c>
      <c r="D152" s="1" t="str">
        <f>+IFERROR(IFERROR(VLOOKUP(A152,[7]Sheet1!$A$1:$C$65536,3,0),VLOOKUP(E152,[7]Sheet1!$A$1:$C$65536,3,0)),VLOOKUP(B152,[7]Sheet1!$A$1:$C$65536,3,0))</f>
        <v>KGZ</v>
      </c>
      <c r="E152" s="205" t="s">
        <v>210</v>
      </c>
      <c r="F152" s="6">
        <f t="shared" si="20"/>
        <v>0</v>
      </c>
      <c r="G152" s="7">
        <f>+IFERROR(IFERROR(VLOOKUP(D152,[2]IMF_fdi_credit_debitinc!$A:$C,3,0),VLOOKUP(E152,[2]IMF_fdi_credit_debitinc!$A:$C,3,0)),0)/1000000</f>
        <v>0</v>
      </c>
      <c r="H152" s="7">
        <f>+IFERROR(VLOOKUP(D152,[2]OECD_COUNTERDO_INCOME!A:B,2,0),0)</f>
        <v>18.041</v>
      </c>
      <c r="I152" s="7" t="e">
        <f>+VLOOKUP(E152,'[2]CBC- IRS'!A:L,6,0)/1000000</f>
        <v>#N/A</v>
      </c>
      <c r="J152" s="7">
        <f t="shared" si="21"/>
        <v>-18.041</v>
      </c>
      <c r="K152" s="8"/>
      <c r="L152" s="7"/>
      <c r="M152" s="7"/>
      <c r="N152" s="7"/>
      <c r="O152" s="7"/>
      <c r="P152" s="6">
        <f t="shared" si="23"/>
        <v>0</v>
      </c>
      <c r="Q152" s="7">
        <f>+IFERROR(IFERROR(VLOOKUP(D152,[2]IMF_fdi_credit_debitinc!$A:$C,2,0),VLOOKUP(O152,[2]IMF_fdi_credit_debitinc!$A:$C,2,0)),0)/1000000</f>
        <v>0</v>
      </c>
      <c r="R152" s="7">
        <f>+IFERROR(VLOOKUP(D152,[2]OECD_COUNTERDI_INCOME!A:B,2,0),0)</f>
        <v>-0.375</v>
      </c>
      <c r="S152" s="7">
        <f t="shared" si="22"/>
        <v>0.375</v>
      </c>
      <c r="T152" s="206"/>
    </row>
    <row r="153" spans="1:20" ht="14.25" customHeight="1" x14ac:dyDescent="0.35">
      <c r="B153" s="13" t="s">
        <v>211</v>
      </c>
      <c r="D153" s="1" t="str">
        <f>+IFERROR(IFERROR(VLOOKUP(A153,[7]Sheet1!$A$1:$C$65536,3,0),VLOOKUP(E153,[7]Sheet1!$A$1:$C$65536,3,0)),VLOOKUP(B153,[7]Sheet1!$A$1:$C$65536,3,0))</f>
        <v>LAO</v>
      </c>
      <c r="E153" s="205" t="s">
        <v>212</v>
      </c>
      <c r="F153" s="6">
        <f t="shared" si="20"/>
        <v>0</v>
      </c>
      <c r="G153" s="7">
        <f>+IFERROR(IFERROR(VLOOKUP(D153,[2]IMF_fdi_credit_debitinc!$A:$C,3,0),VLOOKUP(E153,[2]IMF_fdi_credit_debitinc!$A:$C,3,0)),0)/1000000</f>
        <v>0</v>
      </c>
      <c r="H153" s="7">
        <f>+IFERROR(VLOOKUP(D153,[2]OECD_COUNTERDO_INCOME!A:B,2,0),0)</f>
        <v>-38.42</v>
      </c>
      <c r="I153" s="7" t="e">
        <f>+VLOOKUP(E153,'[2]CBC- IRS'!A:L,6,0)/1000000</f>
        <v>#N/A</v>
      </c>
      <c r="J153" s="7">
        <f t="shared" si="21"/>
        <v>38.42</v>
      </c>
      <c r="K153" s="8"/>
      <c r="L153" s="7"/>
      <c r="M153" s="7"/>
      <c r="N153" s="7"/>
      <c r="O153" s="7"/>
      <c r="P153" s="6">
        <f t="shared" si="23"/>
        <v>0</v>
      </c>
      <c r="Q153" s="7">
        <f>+IFERROR(IFERROR(VLOOKUP(D153,[2]IMF_fdi_credit_debitinc!$A:$C,2,0),VLOOKUP(O153,[2]IMF_fdi_credit_debitinc!$A:$C,2,0)),0)/1000000</f>
        <v>0</v>
      </c>
      <c r="R153" s="7">
        <f>+IFERROR(VLOOKUP(D153,[2]OECD_COUNTERDI_INCOME!A:B,2,0),0)</f>
        <v>2E-3</v>
      </c>
      <c r="S153" s="7">
        <f t="shared" si="22"/>
        <v>-2E-3</v>
      </c>
      <c r="T153" s="206"/>
    </row>
    <row r="154" spans="1:20" ht="14.25" customHeight="1" x14ac:dyDescent="0.35">
      <c r="D154" s="1" t="str">
        <f>+IFERROR(IFERROR(VLOOKUP(A154,[7]Sheet1!$A$1:$C$65536,3,0),VLOOKUP(E154,[7]Sheet1!$A$1:$C$65536,3,0)),VLOOKUP(B154,[7]Sheet1!$A$1:$C$65536,3,0))</f>
        <v>LSO</v>
      </c>
      <c r="E154" s="205" t="s">
        <v>213</v>
      </c>
      <c r="F154" s="6">
        <f t="shared" si="20"/>
        <v>110.42700000000001</v>
      </c>
      <c r="G154" s="7">
        <f>+IFERROR(IFERROR(VLOOKUP(D154,[2]IMF_fdi_credit_debitinc!$A:$C,3,0),VLOOKUP(E154,[2]IMF_fdi_credit_debitinc!$A:$C,3,0)),0)/1000000</f>
        <v>110.42700000000001</v>
      </c>
      <c r="H154" s="7">
        <f>+IFERROR(VLOOKUP(D154,[2]OECD_COUNTERDO_INCOME!A:B,2,0),0)</f>
        <v>0</v>
      </c>
      <c r="I154" s="7" t="e">
        <f>+VLOOKUP(E154,'[2]CBC- IRS'!A:L,6,0)/1000000</f>
        <v>#N/A</v>
      </c>
      <c r="J154" s="7">
        <f t="shared" si="21"/>
        <v>110.42700000000001</v>
      </c>
      <c r="K154" s="8"/>
      <c r="L154" s="7"/>
      <c r="M154" s="7"/>
      <c r="N154" s="7"/>
      <c r="O154" s="7"/>
      <c r="P154" s="6">
        <f t="shared" si="23"/>
        <v>0</v>
      </c>
      <c r="Q154" s="7">
        <f>+IFERROR(IFERROR(VLOOKUP(D154,[2]IMF_fdi_credit_debitinc!$A:$C,2,0),VLOOKUP(O154,[2]IMF_fdi_credit_debitinc!$A:$C,2,0)),0)/1000000</f>
        <v>0</v>
      </c>
      <c r="R154" s="7">
        <f>+IFERROR(VLOOKUP(D154,[2]OECD_COUNTERDI_INCOME!A:B,2,0),0)</f>
        <v>-5</v>
      </c>
      <c r="S154" s="7">
        <f t="shared" si="22"/>
        <v>5</v>
      </c>
      <c r="T154" s="206"/>
    </row>
    <row r="155" spans="1:20" ht="14.25" customHeight="1" x14ac:dyDescent="0.35">
      <c r="D155" s="1" t="str">
        <f>+IFERROR(IFERROR(VLOOKUP(A155,[7]Sheet1!$A$1:$C$65536,3,0),VLOOKUP(E155,[7]Sheet1!$A$1:$C$65536,3,0)),VLOOKUP(B155,[7]Sheet1!$A$1:$C$65536,3,0))</f>
        <v>LBR</v>
      </c>
      <c r="E155" s="205" t="s">
        <v>214</v>
      </c>
      <c r="F155" s="6">
        <f t="shared" ref="F155:F218" si="24">+G155</f>
        <v>0</v>
      </c>
      <c r="G155" s="7">
        <f>+IFERROR(IFERROR(VLOOKUP(D155,[2]IMF_fdi_credit_debitinc!$A:$C,3,0),VLOOKUP(E155,[2]IMF_fdi_credit_debitinc!$A:$C,3,0)),0)/1000000</f>
        <v>0</v>
      </c>
      <c r="H155" s="7">
        <f>+IFERROR(VLOOKUP(D155,[2]OECD_COUNTERDO_INCOME!A:B,2,0),0)</f>
        <v>-31.123999999999999</v>
      </c>
      <c r="I155" s="7" t="e">
        <f>+VLOOKUP(E155,'[2]CBC- IRS'!A:L,6,0)/1000000</f>
        <v>#N/A</v>
      </c>
      <c r="J155" s="7">
        <f t="shared" ref="J155:J184" si="25">+F155-H155</f>
        <v>31.123999999999999</v>
      </c>
      <c r="K155" s="8"/>
      <c r="L155" s="7"/>
      <c r="M155" s="7"/>
      <c r="N155" s="7"/>
      <c r="O155" s="7"/>
      <c r="P155" s="6">
        <f t="shared" si="23"/>
        <v>0</v>
      </c>
      <c r="Q155" s="7">
        <f>+IFERROR(IFERROR(VLOOKUP(D155,[2]IMF_fdi_credit_debitinc!$A:$C,2,0),VLOOKUP(O155,[2]IMF_fdi_credit_debitinc!$A:$C,2,0)),0)/1000000</f>
        <v>0</v>
      </c>
      <c r="R155" s="7">
        <f>+IFERROR(VLOOKUP(D155,[2]OECD_COUNTERDI_INCOME!A:B,2,0),0)</f>
        <v>54.070999999999998</v>
      </c>
      <c r="S155" s="7">
        <f t="shared" ref="S155:S184" si="26">+P155-R155</f>
        <v>-54.070999999999998</v>
      </c>
      <c r="T155" s="206"/>
    </row>
    <row r="156" spans="1:20" ht="14.25" customHeight="1" x14ac:dyDescent="0.35">
      <c r="D156" s="1" t="str">
        <f>+IFERROR(IFERROR(VLOOKUP(A156,[7]Sheet1!$A$1:$C$65536,3,0),VLOOKUP(E156,[7]Sheet1!$A$1:$C$65536,3,0)),VLOOKUP(B156,[7]Sheet1!$A$1:$C$65536,3,0))</f>
        <v>LBY</v>
      </c>
      <c r="E156" s="205" t="s">
        <v>215</v>
      </c>
      <c r="F156" s="6">
        <f t="shared" si="24"/>
        <v>0</v>
      </c>
      <c r="G156" s="7">
        <f>+IFERROR(IFERROR(VLOOKUP(D156,[2]IMF_fdi_credit_debitinc!$A:$C,3,0),VLOOKUP(E156,[2]IMF_fdi_credit_debitinc!$A:$C,3,0)),0)/1000000</f>
        <v>0</v>
      </c>
      <c r="H156" s="7">
        <f>+IFERROR(VLOOKUP(D156,[2]OECD_COUNTERDO_INCOME!A:B,2,0),0)</f>
        <v>54.180999999999997</v>
      </c>
      <c r="I156" s="7">
        <f>+VLOOKUP(E156,'[2]CBC- IRS'!A:L,6,0)/1000000</f>
        <v>1.5363660700000001</v>
      </c>
      <c r="J156" s="7">
        <f t="shared" si="25"/>
        <v>-54.180999999999997</v>
      </c>
      <c r="K156" s="8"/>
      <c r="L156" s="7"/>
      <c r="M156" s="7"/>
      <c r="N156" s="7"/>
      <c r="O156" s="7"/>
      <c r="P156" s="6">
        <f t="shared" ref="P156:P217" si="27">+Q156</f>
        <v>0</v>
      </c>
      <c r="Q156" s="7">
        <f>+IFERROR(IFERROR(VLOOKUP(D156,[2]IMF_fdi_credit_debitinc!$A:$C,2,0),VLOOKUP(O156,[2]IMF_fdi_credit_debitinc!$A:$C,2,0)),0)/1000000</f>
        <v>0</v>
      </c>
      <c r="R156" s="7">
        <f>+IFERROR(VLOOKUP(D156,[2]OECD_COUNTERDI_INCOME!A:B,2,0),0)</f>
        <v>-27.516999999999999</v>
      </c>
      <c r="S156" s="7">
        <f t="shared" si="26"/>
        <v>27.516999999999999</v>
      </c>
      <c r="T156" s="206"/>
    </row>
    <row r="157" spans="1:20" ht="14.25" customHeight="1" x14ac:dyDescent="0.35">
      <c r="D157" s="1" t="str">
        <f>+IFERROR(IFERROR(VLOOKUP(A157,[7]Sheet1!$A$1:$C$65536,3,0),VLOOKUP(E157,[7]Sheet1!$A$1:$C$65536,3,0)),VLOOKUP(B157,[7]Sheet1!$A$1:$C$65536,3,0))</f>
        <v>LTU</v>
      </c>
      <c r="E157" s="205" t="s">
        <v>216</v>
      </c>
      <c r="F157" s="6">
        <f>HLOOKUP(E157,'[8]Inward, All'!$C$10:$AL$1005,252,0)</f>
        <v>1678.768718802</v>
      </c>
      <c r="G157" s="7">
        <f>+IFERROR(IFERROR(VLOOKUP(D157,[2]IMF_fdi_credit_debitinc!$A:$C,3,0),VLOOKUP(E157,[2]IMF_fdi_credit_debitinc!$A:$C,3,0)),0)/1000000</f>
        <v>2033</v>
      </c>
      <c r="H157" s="7">
        <f>+IFERROR(VLOOKUP(D157,[2]OECD_COUNTERDO_INCOME!A:B,2,0),0)</f>
        <v>1276.0530000000001</v>
      </c>
      <c r="I157" s="7">
        <f>+VLOOKUP(E157,'[2]CBC- IRS'!A:L,6,0)/1000000</f>
        <v>0.33774162000000002</v>
      </c>
      <c r="J157" s="7">
        <f>+F157-H157</f>
        <v>402.71571880199986</v>
      </c>
      <c r="K157" s="8"/>
      <c r="L157" s="7"/>
      <c r="M157" s="7"/>
      <c r="N157" s="7"/>
      <c r="O157" s="7"/>
      <c r="P157" s="6">
        <f t="shared" si="27"/>
        <v>256.46600000000001</v>
      </c>
      <c r="Q157" s="7">
        <f>+IFERROR(IFERROR(VLOOKUP(D157,[2]IMF_fdi_credit_debitinc!$A:$C,2,0),VLOOKUP(O157,[2]IMF_fdi_credit_debitinc!$A:$C,2,0)),0)/1000000</f>
        <v>256.46600000000001</v>
      </c>
      <c r="R157" s="7">
        <f>+IFERROR(VLOOKUP(D157,[2]OECD_COUNTERDI_INCOME!A:B,2,0),0)</f>
        <v>172.11500000000001</v>
      </c>
      <c r="S157" s="7">
        <f>+P157-R157</f>
        <v>84.350999999999999</v>
      </c>
      <c r="T157" s="206"/>
    </row>
    <row r="158" spans="1:20" ht="14.25" customHeight="1" x14ac:dyDescent="0.35">
      <c r="A158" s="1" t="s">
        <v>217</v>
      </c>
      <c r="B158" s="1" t="s">
        <v>218</v>
      </c>
      <c r="D158" s="1" t="s">
        <v>300</v>
      </c>
      <c r="E158" s="205" t="s">
        <v>219</v>
      </c>
      <c r="F158" s="6">
        <f t="shared" si="24"/>
        <v>509.94400000000002</v>
      </c>
      <c r="G158" s="7">
        <f>+IFERROR(IFERROR(VLOOKUP(D158,[2]IMF_fdi_credit_debitinc!$A:$C,3,0),VLOOKUP(E158,[2]IMF_fdi_credit_debitinc!$A:$C,3,0)),0)/1000000</f>
        <v>509.94400000000002</v>
      </c>
      <c r="H158" s="7">
        <f>+IFERROR(VLOOKUP(D158,[2]OECD_COUNTERDO_INCOME!A:B,2,0),0)</f>
        <v>160.03899999999999</v>
      </c>
      <c r="I158" s="7" t="e">
        <f>+VLOOKUP(E158,'[2]CBC- IRS'!A:L,6,0)/1000000</f>
        <v>#N/A</v>
      </c>
      <c r="J158" s="7">
        <f t="shared" si="25"/>
        <v>349.90500000000003</v>
      </c>
      <c r="K158" s="8"/>
      <c r="L158" s="7"/>
      <c r="M158" s="7"/>
      <c r="N158" s="7"/>
      <c r="O158" s="7"/>
      <c r="P158" s="6">
        <f t="shared" si="27"/>
        <v>17.624177911019999</v>
      </c>
      <c r="Q158" s="7">
        <f>+IFERROR(IFERROR(VLOOKUP(D158,[2]IMF_fdi_credit_debitinc!$A:$C,2,0),VLOOKUP(O158,[2]IMF_fdi_credit_debitinc!$A:$C,2,0)),0)/1000000</f>
        <v>17.624177911019999</v>
      </c>
      <c r="R158" s="7">
        <f>+IFERROR(VLOOKUP(D158,[2]OECD_COUNTERDI_INCOME!A:B,2,0),0)</f>
        <v>0.60899999999999999</v>
      </c>
      <c r="S158" s="7">
        <f t="shared" si="26"/>
        <v>17.015177911019997</v>
      </c>
      <c r="T158" s="206"/>
    </row>
    <row r="159" spans="1:20" ht="14.25" customHeight="1" x14ac:dyDescent="0.35">
      <c r="D159" s="1" t="str">
        <f>+IFERROR(IFERROR(VLOOKUP(A159,[7]Sheet1!$A$1:$C$65536,3,0),VLOOKUP(E159,[7]Sheet1!$A$1:$C$65536,3,0)),VLOOKUP(B159,[7]Sheet1!$A$1:$C$65536,3,0))</f>
        <v>MDG</v>
      </c>
      <c r="E159" s="205" t="s">
        <v>220</v>
      </c>
      <c r="F159" s="6">
        <f t="shared" si="24"/>
        <v>0</v>
      </c>
      <c r="G159" s="7">
        <f>+IFERROR(IFERROR(VLOOKUP(D159,[2]IMF_fdi_credit_debitinc!$A:$C,3,0),VLOOKUP(E159,[2]IMF_fdi_credit_debitinc!$A:$C,3,0)),0)/1000000</f>
        <v>0</v>
      </c>
      <c r="H159" s="7">
        <f>+IFERROR(VLOOKUP(D159,[2]OECD_COUNTERDO_INCOME!A:B,2,0),0)</f>
        <v>11.298999999999999</v>
      </c>
      <c r="I159" s="7" t="e">
        <f>+VLOOKUP(E159,'[2]CBC- IRS'!A:L,6,0)/1000000</f>
        <v>#N/A</v>
      </c>
      <c r="J159" s="7">
        <f t="shared" si="25"/>
        <v>-11.298999999999999</v>
      </c>
      <c r="K159" s="8"/>
      <c r="L159" s="7"/>
      <c r="M159" s="7"/>
      <c r="N159" s="7"/>
      <c r="O159" s="7"/>
      <c r="P159" s="6">
        <f t="shared" si="27"/>
        <v>0</v>
      </c>
      <c r="Q159" s="7">
        <f>+IFERROR(IFERROR(VLOOKUP(D159,[2]IMF_fdi_credit_debitinc!$A:$C,2,0),VLOOKUP(O159,[2]IMF_fdi_credit_debitinc!$A:$C,2,0)),0)/1000000</f>
        <v>0</v>
      </c>
      <c r="R159" s="7">
        <f>+IFERROR(VLOOKUP(D159,[2]OECD_COUNTERDI_INCOME!A:B,2,0),0)</f>
        <v>4.0000000000000001E-3</v>
      </c>
      <c r="S159" s="7">
        <f t="shared" si="26"/>
        <v>-4.0000000000000001E-3</v>
      </c>
      <c r="T159" s="206"/>
    </row>
    <row r="160" spans="1:20" ht="14.25" customHeight="1" x14ac:dyDescent="0.35">
      <c r="B160" s="16"/>
      <c r="D160" s="1" t="str">
        <f>+IFERROR(IFERROR(VLOOKUP(A160,[7]Sheet1!$A$1:$C$65536,3,0),VLOOKUP(E160,[7]Sheet1!$A$1:$C$65536,3,0)),VLOOKUP(B160,[7]Sheet1!$A$1:$C$65536,3,0))</f>
        <v>MWI</v>
      </c>
      <c r="E160" s="205" t="s">
        <v>221</v>
      </c>
      <c r="F160" s="6">
        <f t="shared" si="24"/>
        <v>0</v>
      </c>
      <c r="G160" s="7">
        <f>+IFERROR(IFERROR(VLOOKUP(D160,[2]IMF_fdi_credit_debitinc!$A:$C,3,0),VLOOKUP(E160,[2]IMF_fdi_credit_debitinc!$A:$C,3,0)),0)/1000000</f>
        <v>0</v>
      </c>
      <c r="H160" s="7">
        <f>+IFERROR(VLOOKUP(D160,[2]OECD_COUNTERDO_INCOME!A:B,2,0),0)</f>
        <v>5.6820000000000004</v>
      </c>
      <c r="I160" s="7" t="e">
        <f>+VLOOKUP(E160,'[2]CBC- IRS'!A:L,6,0)/1000000</f>
        <v>#N/A</v>
      </c>
      <c r="J160" s="7">
        <f t="shared" si="25"/>
        <v>-5.6820000000000004</v>
      </c>
      <c r="K160" s="8"/>
      <c r="L160" s="7"/>
      <c r="M160" s="7"/>
      <c r="N160" s="7"/>
      <c r="O160" s="7"/>
      <c r="P160" s="6">
        <f t="shared" si="27"/>
        <v>0</v>
      </c>
      <c r="Q160" s="7">
        <f>+IFERROR(IFERROR(VLOOKUP(D160,[2]IMF_fdi_credit_debitinc!$A:$C,2,0),VLOOKUP(O160,[2]IMF_fdi_credit_debitinc!$A:$C,2,0)),0)/1000000</f>
        <v>0</v>
      </c>
      <c r="R160" s="7">
        <f>+IFERROR(VLOOKUP(D160,[2]OECD_COUNTERDI_INCOME!A:B,2,0),0)</f>
        <v>2E-3</v>
      </c>
      <c r="S160" s="7">
        <f t="shared" si="26"/>
        <v>-2E-3</v>
      </c>
      <c r="T160" s="206"/>
    </row>
    <row r="161" spans="1:20" ht="14.25" customHeight="1" x14ac:dyDescent="0.35">
      <c r="D161" s="1" t="str">
        <f>+IFERROR(IFERROR(VLOOKUP(A161,[7]Sheet1!$A$1:$C$65536,3,0),VLOOKUP(E161,[7]Sheet1!$A$1:$C$65536,3,0)),VLOOKUP(B161,[7]Sheet1!$A$1:$C$65536,3,0))</f>
        <v>MYS</v>
      </c>
      <c r="E161" s="205" t="s">
        <v>222</v>
      </c>
      <c r="F161" s="6">
        <f t="shared" si="24"/>
        <v>0</v>
      </c>
      <c r="G161" s="7">
        <f>+IFERROR(IFERROR(VLOOKUP(D161,[2]IMF_fdi_credit_debitinc!$A:$C,3,0),VLOOKUP(E161,[2]IMF_fdi_credit_debitinc!$A:$C,3,0)),0)/1000000</f>
        <v>0</v>
      </c>
      <c r="H161" s="7">
        <f>+IFERROR(VLOOKUP(D161,[2]OECD_COUNTERDO_INCOME!A:B,2,0),0)</f>
        <v>6061.45</v>
      </c>
      <c r="I161" s="7">
        <f>+VLOOKUP(E161,'[2]CBC- IRS'!A:L,6,0)/1000000</f>
        <v>4.8102379730000004</v>
      </c>
      <c r="J161" s="7">
        <f t="shared" si="25"/>
        <v>-6061.45</v>
      </c>
      <c r="K161" s="8"/>
      <c r="L161" s="7"/>
      <c r="M161" s="7"/>
      <c r="N161" s="7"/>
      <c r="O161" s="7"/>
      <c r="P161" s="6">
        <f t="shared" si="27"/>
        <v>0</v>
      </c>
      <c r="Q161" s="7">
        <f>+IFERROR(IFERROR(VLOOKUP(D161,[2]IMF_fdi_credit_debitinc!$A:$C,2,0),VLOOKUP(O161,[2]IMF_fdi_credit_debitinc!$A:$C,2,0)),0)/1000000</f>
        <v>0</v>
      </c>
      <c r="R161" s="7">
        <f>+IFERROR(VLOOKUP(D161,[2]OECD_COUNTERDI_INCOME!A:B,2,0),0)</f>
        <v>221.809</v>
      </c>
      <c r="S161" s="7">
        <f t="shared" si="26"/>
        <v>-221.809</v>
      </c>
      <c r="T161" s="206"/>
    </row>
    <row r="162" spans="1:20" ht="14.25" customHeight="1" x14ac:dyDescent="0.35">
      <c r="D162" s="1" t="str">
        <f>+IFERROR(IFERROR(VLOOKUP(A162,[7]Sheet1!$A$1:$C$65536,3,0),VLOOKUP(E162,[7]Sheet1!$A$1:$C$65536,3,0)),VLOOKUP(B162,[7]Sheet1!$A$1:$C$65536,3,0))</f>
        <v>MDV</v>
      </c>
      <c r="E162" s="205" t="s">
        <v>223</v>
      </c>
      <c r="F162" s="6">
        <f t="shared" si="24"/>
        <v>0</v>
      </c>
      <c r="G162" s="7">
        <f>+IFERROR(IFERROR(VLOOKUP(D162,[2]IMF_fdi_credit_debitinc!$A:$C,3,0),VLOOKUP(E162,[2]IMF_fdi_credit_debitinc!$A:$C,3,0)),0)/1000000</f>
        <v>0</v>
      </c>
      <c r="H162" s="7">
        <f>+IFERROR(VLOOKUP(D162,[2]OECD_COUNTERDO_INCOME!A:B,2,0),0)</f>
        <v>-0.89600000000000002</v>
      </c>
      <c r="I162" s="7" t="e">
        <f>+VLOOKUP(E162,'[2]CBC- IRS'!A:L,6,0)/1000000</f>
        <v>#N/A</v>
      </c>
      <c r="J162" s="7">
        <f t="shared" si="25"/>
        <v>0.89600000000000002</v>
      </c>
      <c r="K162" s="8"/>
      <c r="L162" s="7"/>
      <c r="M162" s="7"/>
      <c r="N162" s="7"/>
      <c r="O162" s="7"/>
      <c r="P162" s="6">
        <f t="shared" si="27"/>
        <v>0</v>
      </c>
      <c r="Q162" s="7">
        <f>+IFERROR(IFERROR(VLOOKUP(D162,[2]IMF_fdi_credit_debitinc!$A:$C,2,0),VLOOKUP(O162,[2]IMF_fdi_credit_debitinc!$A:$C,2,0)),0)/1000000</f>
        <v>0</v>
      </c>
      <c r="R162" s="7">
        <f>+IFERROR(VLOOKUP(D162,[2]OECD_COUNTERDI_INCOME!A:B,2,0),0)</f>
        <v>0</v>
      </c>
      <c r="S162" s="7">
        <f t="shared" si="26"/>
        <v>0</v>
      </c>
      <c r="T162" s="206"/>
    </row>
    <row r="163" spans="1:20" ht="14.25" customHeight="1" x14ac:dyDescent="0.35">
      <c r="B163" s="16"/>
      <c r="D163" s="1" t="str">
        <f>+IFERROR(IFERROR(VLOOKUP(A163,[7]Sheet1!$A$1:$C$65536,3,0),VLOOKUP(E163,[7]Sheet1!$A$1:$C$65536,3,0)),VLOOKUP(B163,[7]Sheet1!$A$1:$C$65536,3,0))</f>
        <v>MLI</v>
      </c>
      <c r="E163" s="205" t="s">
        <v>224</v>
      </c>
      <c r="F163" s="6">
        <f t="shared" si="24"/>
        <v>0</v>
      </c>
      <c r="G163" s="7">
        <f>+IFERROR(IFERROR(VLOOKUP(D163,[2]IMF_fdi_credit_debitinc!$A:$C,3,0),VLOOKUP(E163,[2]IMF_fdi_credit_debitinc!$A:$C,3,0)),0)/1000000</f>
        <v>0</v>
      </c>
      <c r="H163" s="7">
        <f>+IFERROR(VLOOKUP(D163,[2]OECD_COUNTERDO_INCOME!A:B,2,0),0)</f>
        <v>6.4930000000000003</v>
      </c>
      <c r="I163" s="7" t="e">
        <f>+VLOOKUP(E163,'[2]CBC- IRS'!A:L,6,0)/1000000</f>
        <v>#N/A</v>
      </c>
      <c r="J163" s="7">
        <f t="shared" si="25"/>
        <v>-6.4930000000000003</v>
      </c>
      <c r="K163" s="8"/>
      <c r="L163" s="7"/>
      <c r="M163" s="7"/>
      <c r="N163" s="7"/>
      <c r="O163" s="7"/>
      <c r="P163" s="6">
        <f t="shared" si="27"/>
        <v>0</v>
      </c>
      <c r="Q163" s="7">
        <f>+IFERROR(IFERROR(VLOOKUP(D163,[2]IMF_fdi_credit_debitinc!$A:$C,2,0),VLOOKUP(O163,[2]IMF_fdi_credit_debitinc!$A:$C,2,0)),0)/1000000</f>
        <v>0</v>
      </c>
      <c r="R163" s="7">
        <f>+IFERROR(VLOOKUP(D163,[2]OECD_COUNTERDI_INCOME!A:B,2,0),0)</f>
        <v>3.0000000000000001E-3</v>
      </c>
      <c r="S163" s="7">
        <f t="shared" si="26"/>
        <v>-3.0000000000000001E-3</v>
      </c>
      <c r="T163" s="206"/>
    </row>
    <row r="164" spans="1:20" ht="14.25" customHeight="1" x14ac:dyDescent="0.35">
      <c r="D164" s="1" t="str">
        <f>+IFERROR(IFERROR(VLOOKUP(A164,[7]Sheet1!$A$1:$C$65536,3,0),VLOOKUP(E164,[7]Sheet1!$A$1:$C$65536,3,0)),VLOOKUP(B164,[7]Sheet1!$A$1:$C$65536,3,0))</f>
        <v>MRT</v>
      </c>
      <c r="E164" s="205" t="s">
        <v>225</v>
      </c>
      <c r="F164" s="6">
        <f t="shared" si="24"/>
        <v>0</v>
      </c>
      <c r="G164" s="7">
        <f>+IFERROR(IFERROR(VLOOKUP(D164,[2]IMF_fdi_credit_debitinc!$A:$C,3,0),VLOOKUP(E164,[2]IMF_fdi_credit_debitinc!$A:$C,3,0)),0)/1000000</f>
        <v>0</v>
      </c>
      <c r="H164" s="7">
        <f>+IFERROR(VLOOKUP(D164,[2]OECD_COUNTERDO_INCOME!A:B,2,0),0)</f>
        <v>0</v>
      </c>
      <c r="I164" s="7" t="e">
        <f>+VLOOKUP(E164,'[2]CBC- IRS'!A:L,6,0)/1000000</f>
        <v>#N/A</v>
      </c>
      <c r="J164" s="7">
        <f t="shared" si="25"/>
        <v>0</v>
      </c>
      <c r="K164" s="8"/>
      <c r="L164" s="7"/>
      <c r="M164" s="7"/>
      <c r="N164" s="7"/>
      <c r="O164" s="7"/>
      <c r="P164" s="6">
        <f t="shared" si="27"/>
        <v>0</v>
      </c>
      <c r="Q164" s="7">
        <f>+IFERROR(IFERROR(VLOOKUP(D164,[2]IMF_fdi_credit_debitinc!$A:$C,2,0),VLOOKUP(O164,[2]IMF_fdi_credit_debitinc!$A:$C,2,0)),0)/1000000</f>
        <v>0</v>
      </c>
      <c r="R164" s="7">
        <f>+IFERROR(VLOOKUP(D164,[2]OECD_COUNTERDI_INCOME!A:B,2,0),0)</f>
        <v>1.6E-2</v>
      </c>
      <c r="S164" s="7">
        <f t="shared" si="26"/>
        <v>-1.6E-2</v>
      </c>
      <c r="T164" s="206"/>
    </row>
    <row r="165" spans="1:20" ht="14.25" customHeight="1" x14ac:dyDescent="0.35">
      <c r="A165" s="13" t="s">
        <v>226</v>
      </c>
      <c r="B165" s="1" t="s">
        <v>227</v>
      </c>
      <c r="D165" s="1" t="str">
        <f>+IFERROR(IFERROR(VLOOKUP(A165,[7]Sheet1!$A$1:$C$65536,3,0),VLOOKUP(E165,[7]Sheet1!$A$1:$C$65536,3,0)),VLOOKUP(B165,[7]Sheet1!$A$1:$C$65536,3,0))</f>
        <v>FSM</v>
      </c>
      <c r="E165" s="205" t="s">
        <v>228</v>
      </c>
      <c r="F165" s="6">
        <f t="shared" si="24"/>
        <v>0</v>
      </c>
      <c r="G165" s="7">
        <f>+IFERROR(IFERROR(VLOOKUP(D165,[2]IMF_fdi_credit_debitinc!$A:$C,3,0),VLOOKUP(E165,[2]IMF_fdi_credit_debitinc!$A:$C,3,0)),0)/1000000</f>
        <v>0</v>
      </c>
      <c r="H165" s="7">
        <f>+IFERROR(VLOOKUP(D165,[2]OECD_COUNTERDO_INCOME!A:B,2,0),0)</f>
        <v>1</v>
      </c>
      <c r="I165" s="7" t="e">
        <f>+VLOOKUP(E165,'[2]CBC- IRS'!A:L,6,0)/1000000</f>
        <v>#N/A</v>
      </c>
      <c r="J165" s="7">
        <f t="shared" si="25"/>
        <v>-1</v>
      </c>
      <c r="K165" s="8"/>
      <c r="L165" s="7"/>
      <c r="M165" s="7"/>
      <c r="N165" s="7"/>
      <c r="O165" s="7"/>
      <c r="P165" s="6">
        <f t="shared" si="27"/>
        <v>0</v>
      </c>
      <c r="Q165" s="7">
        <f>+IFERROR(IFERROR(VLOOKUP(D165,[2]IMF_fdi_credit_debitinc!$A:$C,2,0),VLOOKUP(O165,[2]IMF_fdi_credit_debitinc!$A:$C,2,0)),0)/1000000</f>
        <v>0</v>
      </c>
      <c r="R165" s="7">
        <f>+IFERROR(VLOOKUP(D165,[2]OECD_COUNTERDI_INCOME!A:B,2,0),0)</f>
        <v>-7.8E-2</v>
      </c>
      <c r="S165" s="7">
        <f t="shared" si="26"/>
        <v>7.8E-2</v>
      </c>
      <c r="T165" s="206"/>
    </row>
    <row r="166" spans="1:20" ht="14.25" customHeight="1" x14ac:dyDescent="0.35">
      <c r="D166" s="1" t="str">
        <f>+IFERROR(IFERROR(VLOOKUP(A166,[7]Sheet1!$A$1:$C$65536,3,0),VLOOKUP(E166,[7]Sheet1!$A$1:$C$65536,3,0)),VLOOKUP(B166,[7]Sheet1!$A$1:$C$65536,3,0))</f>
        <v>MDA</v>
      </c>
      <c r="E166" s="205" t="s">
        <v>229</v>
      </c>
      <c r="F166" s="6">
        <f t="shared" si="24"/>
        <v>314.39999999999998</v>
      </c>
      <c r="G166" s="7">
        <f>+IFERROR(IFERROR(VLOOKUP(D166,[2]IMF_fdi_credit_debitinc!$A:$C,3,0),VLOOKUP(E166,[2]IMF_fdi_credit_debitinc!$A:$C,3,0)),0)/1000000</f>
        <v>314.39999999999998</v>
      </c>
      <c r="H166" s="7">
        <f>+IFERROR(VLOOKUP(D166,[2]OECD_COUNTERDO_INCOME!A:B,2,0),0)</f>
        <v>59.283999999999999</v>
      </c>
      <c r="I166" s="7" t="e">
        <f>+VLOOKUP(E166,'[2]CBC- IRS'!A:L,6,0)/1000000</f>
        <v>#N/A</v>
      </c>
      <c r="J166" s="7">
        <f t="shared" si="25"/>
        <v>255.11599999999999</v>
      </c>
      <c r="K166" s="8"/>
      <c r="L166" s="7"/>
      <c r="M166" s="7"/>
      <c r="N166" s="7"/>
      <c r="O166" s="7"/>
      <c r="P166" s="6">
        <f t="shared" si="27"/>
        <v>10.75</v>
      </c>
      <c r="Q166" s="7">
        <f>+IFERROR(IFERROR(VLOOKUP(D166,[2]IMF_fdi_credit_debitinc!$A:$C,2,0),VLOOKUP(O166,[2]IMF_fdi_credit_debitinc!$A:$C,2,0)),0)/1000000</f>
        <v>10.75</v>
      </c>
      <c r="R166" s="7">
        <f>+IFERROR(VLOOKUP(D166,[2]OECD_COUNTERDI_INCOME!A:B,2,0),0)</f>
        <v>0.52</v>
      </c>
      <c r="S166" s="7">
        <f t="shared" si="26"/>
        <v>10.23</v>
      </c>
      <c r="T166" s="206"/>
    </row>
    <row r="167" spans="1:20" ht="14.25" customHeight="1" x14ac:dyDescent="0.35">
      <c r="D167" s="1" t="str">
        <f>+IFERROR(IFERROR(VLOOKUP(A167,[7]Sheet1!$A$1:$C$65536,3,0),VLOOKUP(E167,[7]Sheet1!$A$1:$C$65536,3,0)),VLOOKUP(B167,[7]Sheet1!$A$1:$C$65536,3,0))</f>
        <v>MNG</v>
      </c>
      <c r="E167" s="205" t="s">
        <v>230</v>
      </c>
      <c r="F167" s="6">
        <f t="shared" si="24"/>
        <v>976.52300000000002</v>
      </c>
      <c r="G167" s="7">
        <f>+IFERROR(IFERROR(VLOOKUP(D167,[2]IMF_fdi_credit_debitinc!$A:$C,3,0),VLOOKUP(E167,[2]IMF_fdi_credit_debitinc!$A:$C,3,0)),0)/1000000</f>
        <v>976.52300000000002</v>
      </c>
      <c r="H167" s="7">
        <f>+IFERROR(VLOOKUP(D167,[2]OECD_COUNTERDO_INCOME!A:B,2,0),0)</f>
        <v>59.018000000000001</v>
      </c>
      <c r="I167" s="7" t="e">
        <f>+VLOOKUP(E167,'[2]CBC- IRS'!A:L,6,0)/1000000</f>
        <v>#N/A</v>
      </c>
      <c r="J167" s="7">
        <f t="shared" si="25"/>
        <v>917.505</v>
      </c>
      <c r="K167" s="8"/>
      <c r="L167" s="7"/>
      <c r="M167" s="7"/>
      <c r="N167" s="7"/>
      <c r="O167" s="7"/>
      <c r="P167" s="6">
        <f t="shared" si="27"/>
        <v>2.8063168313799998</v>
      </c>
      <c r="Q167" s="7">
        <f>+IFERROR(IFERROR(VLOOKUP(D167,[2]IMF_fdi_credit_debitinc!$A:$C,2,0),VLOOKUP(O167,[2]IMF_fdi_credit_debitinc!$A:$C,2,0)),0)/1000000</f>
        <v>2.8063168313799998</v>
      </c>
      <c r="R167" s="7">
        <f>+IFERROR(VLOOKUP(D167,[2]OECD_COUNTERDI_INCOME!A:B,2,0),0)</f>
        <v>-0.97599999999999998</v>
      </c>
      <c r="S167" s="7">
        <f t="shared" si="26"/>
        <v>3.7823168313799997</v>
      </c>
      <c r="T167" s="206"/>
    </row>
    <row r="168" spans="1:20" ht="14.25" customHeight="1" x14ac:dyDescent="0.35">
      <c r="D168" s="1" t="str">
        <f>+IFERROR(IFERROR(VLOOKUP(A168,[7]Sheet1!$A$1:$C$65536,3,0),VLOOKUP(E168,[7]Sheet1!$A$1:$C$65536,3,0)),VLOOKUP(B168,[7]Sheet1!$A$1:$C$65536,3,0))</f>
        <v>MNE</v>
      </c>
      <c r="E168" s="205" t="s">
        <v>231</v>
      </c>
      <c r="F168" s="6">
        <f t="shared" si="24"/>
        <v>68.299523423270003</v>
      </c>
      <c r="G168" s="7">
        <f>+IFERROR(IFERROR(VLOOKUP(D168,[2]IMF_fdi_credit_debitinc!$A:$C,3,0),VLOOKUP(E168,[2]IMF_fdi_credit_debitinc!$A:$C,3,0)),0)/1000000</f>
        <v>68.299523423270003</v>
      </c>
      <c r="H168" s="7">
        <f>+IFERROR(VLOOKUP(D168,[2]OECD_COUNTERDO_INCOME!A:B,2,0),0)</f>
        <v>36.558999999999997</v>
      </c>
      <c r="I168" s="7" t="e">
        <f>+VLOOKUP(E168,'[2]CBC- IRS'!A:L,6,0)/1000000</f>
        <v>#N/A</v>
      </c>
      <c r="J168" s="7">
        <f t="shared" si="25"/>
        <v>31.740523423270005</v>
      </c>
      <c r="K168" s="8"/>
      <c r="L168" s="7"/>
      <c r="M168" s="7"/>
      <c r="N168" s="7"/>
      <c r="O168" s="7"/>
      <c r="P168" s="6">
        <f t="shared" si="27"/>
        <v>15.1266299104</v>
      </c>
      <c r="Q168" s="7">
        <f>+IFERROR(IFERROR(VLOOKUP(D168,[2]IMF_fdi_credit_debitinc!$A:$C,2,0),VLOOKUP(O168,[2]IMF_fdi_credit_debitinc!$A:$C,2,0)),0)/1000000</f>
        <v>15.1266299104</v>
      </c>
      <c r="R168" s="7">
        <f>+IFERROR(VLOOKUP(D168,[2]OECD_COUNTERDI_INCOME!A:B,2,0),0)</f>
        <v>2.234</v>
      </c>
      <c r="S168" s="7">
        <f t="shared" si="26"/>
        <v>12.8926299104</v>
      </c>
      <c r="T168" s="206"/>
    </row>
    <row r="169" spans="1:20" ht="14.25" customHeight="1" x14ac:dyDescent="0.35">
      <c r="D169" s="1" t="str">
        <f>+IFERROR(IFERROR(VLOOKUP(A169,[7]Sheet1!$A$1:$C$65536,3,0),VLOOKUP(E169,[7]Sheet1!$A$1:$C$65536,3,0)),VLOOKUP(B169,[7]Sheet1!$A$1:$C$65536,3,0))</f>
        <v>MSR</v>
      </c>
      <c r="E169" s="205" t="s">
        <v>232</v>
      </c>
      <c r="F169" s="6">
        <f t="shared" si="24"/>
        <v>0</v>
      </c>
      <c r="G169" s="7">
        <f>+IFERROR(IFERROR(VLOOKUP(D169,[2]IMF_fdi_credit_debitinc!$A:$C,3,0),VLOOKUP(E169,[2]IMF_fdi_credit_debitinc!$A:$C,3,0)),0)/1000000</f>
        <v>0</v>
      </c>
      <c r="H169" s="7">
        <f>+IFERROR(VLOOKUP(D169,[2]OECD_COUNTERDO_INCOME!A:B,2,0),0)</f>
        <v>0</v>
      </c>
      <c r="I169" s="7" t="e">
        <f>+VLOOKUP(E169,'[2]CBC- IRS'!A:L,6,0)/1000000</f>
        <v>#N/A</v>
      </c>
      <c r="J169" s="7">
        <f t="shared" si="25"/>
        <v>0</v>
      </c>
      <c r="K169" s="8"/>
      <c r="L169" s="7"/>
      <c r="M169" s="7"/>
      <c r="N169" s="7"/>
      <c r="O169" s="7"/>
      <c r="P169" s="6">
        <f t="shared" si="27"/>
        <v>0</v>
      </c>
      <c r="Q169" s="7">
        <f>+IFERROR(IFERROR(VLOOKUP(D169,[2]IMF_fdi_credit_debitinc!$A:$C,2,0),VLOOKUP(O169,[2]IMF_fdi_credit_debitinc!$A:$C,2,0)),0)/1000000</f>
        <v>0</v>
      </c>
      <c r="R169" s="7">
        <f>+IFERROR(VLOOKUP(D169,[2]OECD_COUNTERDI_INCOME!A:B,2,0),0)</f>
        <v>0</v>
      </c>
      <c r="S169" s="7">
        <f t="shared" si="26"/>
        <v>0</v>
      </c>
      <c r="T169" s="206"/>
    </row>
    <row r="170" spans="1:20" ht="14.25" customHeight="1" x14ac:dyDescent="0.35">
      <c r="D170" s="1" t="str">
        <f>+IFERROR(IFERROR(VLOOKUP(A170,[7]Sheet1!$A$1:$C$65536,3,0),VLOOKUP(E170,[7]Sheet1!$A$1:$C$65536,3,0)),VLOOKUP(B170,[7]Sheet1!$A$1:$C$65536,3,0))</f>
        <v>MAR</v>
      </c>
      <c r="E170" s="205" t="s">
        <v>233</v>
      </c>
      <c r="F170" s="6">
        <f t="shared" si="24"/>
        <v>1761.72</v>
      </c>
      <c r="G170" s="7">
        <f>+IFERROR(IFERROR(VLOOKUP(D170,[2]IMF_fdi_credit_debitinc!$A:$C,3,0),VLOOKUP(E170,[2]IMF_fdi_credit_debitinc!$A:$C,3,0)),0)/1000000</f>
        <v>1761.72</v>
      </c>
      <c r="H170" s="7">
        <f>+IFERROR(VLOOKUP(D170,[2]OECD_COUNTERDO_INCOME!A:B,2,0),0)</f>
        <v>1205.3040000000001</v>
      </c>
      <c r="I170" s="7">
        <f>+VLOOKUP(E170,'[2]CBC- IRS'!A:L,6,0)/1000000</f>
        <v>0.16027734099999999</v>
      </c>
      <c r="J170" s="7">
        <f t="shared" si="25"/>
        <v>556.41599999999994</v>
      </c>
      <c r="K170" s="8"/>
      <c r="L170" s="7"/>
      <c r="M170" s="7"/>
      <c r="N170" s="7"/>
      <c r="O170" s="7"/>
      <c r="P170" s="6">
        <f t="shared" si="27"/>
        <v>478.983</v>
      </c>
      <c r="Q170" s="7">
        <f>+IFERROR(IFERROR(VLOOKUP(D170,[2]IMF_fdi_credit_debitinc!$A:$C,2,0),VLOOKUP(O170,[2]IMF_fdi_credit_debitinc!$A:$C,2,0)),0)/1000000</f>
        <v>478.983</v>
      </c>
      <c r="R170" s="7">
        <f>+IFERROR(VLOOKUP(D170,[2]OECD_COUNTERDI_INCOME!A:B,2,0),0)</f>
        <v>40.767000000000003</v>
      </c>
      <c r="S170" s="7">
        <f t="shared" si="26"/>
        <v>438.21600000000001</v>
      </c>
      <c r="T170" s="206"/>
    </row>
    <row r="171" spans="1:20" ht="14.25" customHeight="1" x14ac:dyDescent="0.35">
      <c r="D171" s="1" t="str">
        <f>+IFERROR(IFERROR(VLOOKUP(A171,[7]Sheet1!$A$1:$C$65536,3,0),VLOOKUP(E171,[7]Sheet1!$A$1:$C$65536,3,0)),VLOOKUP(B171,[7]Sheet1!$A$1:$C$65536,3,0))</f>
        <v>MOZ</v>
      </c>
      <c r="E171" s="205" t="s">
        <v>234</v>
      </c>
      <c r="F171" s="6">
        <f t="shared" si="24"/>
        <v>0</v>
      </c>
      <c r="G171" s="7">
        <f>+IFERROR(IFERROR(VLOOKUP(D171,[2]IMF_fdi_credit_debitinc!$A:$C,3,0),VLOOKUP(E171,[2]IMF_fdi_credit_debitinc!$A:$C,3,0)),0)/1000000</f>
        <v>0</v>
      </c>
      <c r="H171" s="7">
        <f>+IFERROR(VLOOKUP(D171,[2]OECD_COUNTERDO_INCOME!A:B,2,0),0)</f>
        <v>88.18</v>
      </c>
      <c r="I171" s="7">
        <f>+VLOOKUP(E171,'[2]CBC- IRS'!A:L,6,0)/1000000</f>
        <v>5.6163800000000005E-4</v>
      </c>
      <c r="J171" s="7">
        <f t="shared" si="25"/>
        <v>-88.18</v>
      </c>
      <c r="K171" s="8"/>
      <c r="L171" s="7"/>
      <c r="M171" s="7"/>
      <c r="N171" s="7"/>
      <c r="O171" s="7"/>
      <c r="P171" s="6">
        <f t="shared" si="27"/>
        <v>0</v>
      </c>
      <c r="Q171" s="7">
        <f>+IFERROR(IFERROR(VLOOKUP(D171,[2]IMF_fdi_credit_debitinc!$A:$C,2,0),VLOOKUP(O171,[2]IMF_fdi_credit_debitinc!$A:$C,2,0)),0)/1000000</f>
        <v>0</v>
      </c>
      <c r="R171" s="7">
        <f>+IFERROR(VLOOKUP(D171,[2]OECD_COUNTERDI_INCOME!A:B,2,0),0)</f>
        <v>-0.05</v>
      </c>
      <c r="S171" s="7">
        <f t="shared" si="26"/>
        <v>0.05</v>
      </c>
      <c r="T171" s="206"/>
    </row>
    <row r="172" spans="1:20" ht="14.25" customHeight="1" x14ac:dyDescent="0.35">
      <c r="D172" s="1" t="str">
        <f>+IFERROR(IFERROR(VLOOKUP(A172,[7]Sheet1!$A$1:$C$65536,3,0),VLOOKUP(E172,[7]Sheet1!$A$1:$C$65536,3,0)),VLOOKUP(B172,[7]Sheet1!$A$1:$C$65536,3,0))</f>
        <v>MMR</v>
      </c>
      <c r="E172" s="205" t="s">
        <v>235</v>
      </c>
      <c r="F172" s="6">
        <f t="shared" si="24"/>
        <v>0</v>
      </c>
      <c r="G172" s="7">
        <f>+IFERROR(IFERROR(VLOOKUP(D172,[2]IMF_fdi_credit_debitinc!$A:$C,3,0),VLOOKUP(E172,[2]IMF_fdi_credit_debitinc!$A:$C,3,0)),0)/1000000</f>
        <v>0</v>
      </c>
      <c r="H172" s="7">
        <f>+IFERROR(VLOOKUP(D172,[2]OECD_COUNTERDO_INCOME!A:B,2,0),0)</f>
        <v>-9.3010000000000002</v>
      </c>
      <c r="I172" s="7" t="e">
        <f>+VLOOKUP(E172,'[2]CBC- IRS'!A:L,6,0)/1000000</f>
        <v>#N/A</v>
      </c>
      <c r="J172" s="7">
        <f t="shared" si="25"/>
        <v>9.3010000000000002</v>
      </c>
      <c r="K172" s="8"/>
      <c r="L172" s="7"/>
      <c r="M172" s="7"/>
      <c r="N172" s="7"/>
      <c r="O172" s="7"/>
      <c r="P172" s="6">
        <f t="shared" si="27"/>
        <v>0</v>
      </c>
      <c r="Q172" s="7">
        <f>+IFERROR(IFERROR(VLOOKUP(D172,[2]IMF_fdi_credit_debitinc!$A:$C,2,0),VLOOKUP(O172,[2]IMF_fdi_credit_debitinc!$A:$C,2,0)),0)/1000000</f>
        <v>0</v>
      </c>
      <c r="R172" s="7">
        <f>+IFERROR(VLOOKUP(D172,[2]OECD_COUNTERDI_INCOME!A:B,2,0),0)</f>
        <v>0.157</v>
      </c>
      <c r="S172" s="7">
        <f t="shared" si="26"/>
        <v>-0.157</v>
      </c>
      <c r="T172" s="206"/>
    </row>
    <row r="173" spans="1:20" ht="14.25" customHeight="1" x14ac:dyDescent="0.35">
      <c r="D173" s="1" t="str">
        <f>+IFERROR(IFERROR(VLOOKUP(A173,[7]Sheet1!$A$1:$C$65536,3,0),VLOOKUP(E173,[7]Sheet1!$A$1:$C$65536,3,0)),VLOOKUP(B173,[7]Sheet1!$A$1:$C$65536,3,0))</f>
        <v>NAM</v>
      </c>
      <c r="E173" s="205" t="s">
        <v>236</v>
      </c>
      <c r="F173" s="6">
        <f t="shared" si="24"/>
        <v>346.82900000000001</v>
      </c>
      <c r="G173" s="7">
        <f>+IFERROR(IFERROR(VLOOKUP(D173,[2]IMF_fdi_credit_debitinc!$A:$C,3,0),VLOOKUP(E173,[2]IMF_fdi_credit_debitinc!$A:$C,3,0)),0)/1000000</f>
        <v>346.82900000000001</v>
      </c>
      <c r="H173" s="7">
        <f>+IFERROR(VLOOKUP(D173,[2]OECD_COUNTERDO_INCOME!A:B,2,0),0)</f>
        <v>-14.731</v>
      </c>
      <c r="I173" s="7">
        <f>+VLOOKUP(E173,'[2]CBC- IRS'!A:L,6,0)/1000000</f>
        <v>2.1752404999999999E-2</v>
      </c>
      <c r="J173" s="7">
        <f t="shared" si="25"/>
        <v>361.56</v>
      </c>
      <c r="K173" s="8"/>
      <c r="L173" s="7"/>
      <c r="M173" s="7"/>
      <c r="N173" s="7"/>
      <c r="O173" s="7"/>
      <c r="P173" s="6">
        <f t="shared" si="27"/>
        <v>-1.4809518235100001</v>
      </c>
      <c r="Q173" s="7">
        <f>+IFERROR(IFERROR(VLOOKUP(D173,[2]IMF_fdi_credit_debitinc!$A:$C,2,0),VLOOKUP(O173,[2]IMF_fdi_credit_debitinc!$A:$C,2,0)),0)/1000000</f>
        <v>-1.4809518235100001</v>
      </c>
      <c r="R173" s="7">
        <f>+IFERROR(VLOOKUP(D173,[2]OECD_COUNTERDI_INCOME!A:B,2,0),0)</f>
        <v>2.6560000000000001</v>
      </c>
      <c r="S173" s="7">
        <f t="shared" si="26"/>
        <v>-4.1369518235100005</v>
      </c>
      <c r="T173" s="206"/>
    </row>
    <row r="174" spans="1:20" ht="14.25" customHeight="1" x14ac:dyDescent="0.35">
      <c r="D174" s="1" t="str">
        <f>+IFERROR(IFERROR(VLOOKUP(A174,[7]Sheet1!$A$1:$C$65536,3,0),VLOOKUP(E174,[7]Sheet1!$A$1:$C$65536,3,0)),VLOOKUP(B174,[7]Sheet1!$A$1:$C$65536,3,0))</f>
        <v>NPL</v>
      </c>
      <c r="E174" s="205" t="s">
        <v>237</v>
      </c>
      <c r="F174" s="6">
        <f t="shared" si="24"/>
        <v>0</v>
      </c>
      <c r="G174" s="7">
        <f>+IFERROR(IFERROR(VLOOKUP(D174,[2]IMF_fdi_credit_debitinc!$A:$C,3,0),VLOOKUP(E174,[2]IMF_fdi_credit_debitinc!$A:$C,3,0)),0)/1000000</f>
        <v>0</v>
      </c>
      <c r="H174" s="7">
        <f>+IFERROR(VLOOKUP(D174,[2]OECD_COUNTERDO_INCOME!A:B,2,0),0)</f>
        <v>6.5540000000000003</v>
      </c>
      <c r="I174" s="7" t="e">
        <f>+VLOOKUP(E174,'[2]CBC- IRS'!A:L,6,0)/1000000</f>
        <v>#N/A</v>
      </c>
      <c r="J174" s="7">
        <f t="shared" si="25"/>
        <v>-6.5540000000000003</v>
      </c>
      <c r="K174" s="8"/>
      <c r="L174" s="7"/>
      <c r="M174" s="7"/>
      <c r="N174" s="7"/>
      <c r="O174" s="7"/>
      <c r="P174" s="6">
        <f t="shared" si="27"/>
        <v>0</v>
      </c>
      <c r="Q174" s="7">
        <f>+IFERROR(IFERROR(VLOOKUP(D174,[2]IMF_fdi_credit_debitinc!$A:$C,2,0),VLOOKUP(O174,[2]IMF_fdi_credit_debitinc!$A:$C,2,0)),0)/1000000</f>
        <v>0</v>
      </c>
      <c r="R174" s="7">
        <f>+IFERROR(VLOOKUP(D174,[2]OECD_COUNTERDI_INCOME!A:B,2,0),0)</f>
        <v>4.0000000000000001E-3</v>
      </c>
      <c r="S174" s="7">
        <f t="shared" si="26"/>
        <v>-4.0000000000000001E-3</v>
      </c>
      <c r="T174" s="206"/>
    </row>
    <row r="175" spans="1:20" ht="14.25" customHeight="1" x14ac:dyDescent="0.35">
      <c r="D175" s="1" t="str">
        <f>+IFERROR(IFERROR(VLOOKUP(A175,[7]Sheet1!$A$1:$C$65536,3,0),VLOOKUP(E175,[7]Sheet1!$A$1:$C$65536,3,0)),VLOOKUP(B175,[7]Sheet1!$A$1:$C$65536,3,0))</f>
        <v>NIC</v>
      </c>
      <c r="E175" s="205" t="s">
        <v>238</v>
      </c>
      <c r="F175" s="6">
        <f t="shared" si="24"/>
        <v>0</v>
      </c>
      <c r="G175" s="7">
        <f>+IFERROR(IFERROR(VLOOKUP(D175,[2]IMF_fdi_credit_debitinc!$A:$C,3,0),VLOOKUP(E175,[2]IMF_fdi_credit_debitinc!$A:$C,3,0)),0)/1000000</f>
        <v>0</v>
      </c>
      <c r="H175" s="7">
        <f>+IFERROR(VLOOKUP(D175,[2]OECD_COUNTERDO_INCOME!A:B,2,0),0)</f>
        <v>-8.1869999999999994</v>
      </c>
      <c r="I175" s="7">
        <f>+VLOOKUP(E175,'[2]CBC- IRS'!A:L,6,0)/1000000</f>
        <v>8.4864531000000007E-2</v>
      </c>
      <c r="J175" s="7">
        <f t="shared" si="25"/>
        <v>8.1869999999999994</v>
      </c>
      <c r="K175" s="8"/>
      <c r="L175" s="7"/>
      <c r="M175" s="7"/>
      <c r="N175" s="7"/>
      <c r="O175" s="7"/>
      <c r="P175" s="6">
        <f t="shared" si="27"/>
        <v>0</v>
      </c>
      <c r="Q175" s="7">
        <f>+IFERROR(IFERROR(VLOOKUP(D175,[2]IMF_fdi_credit_debitinc!$A:$C,2,0),VLOOKUP(O175,[2]IMF_fdi_credit_debitinc!$A:$C,2,0)),0)/1000000</f>
        <v>0</v>
      </c>
      <c r="R175" s="7">
        <f>+IFERROR(VLOOKUP(D175,[2]OECD_COUNTERDI_INCOME!A:B,2,0),0)</f>
        <v>2.153</v>
      </c>
      <c r="S175" s="7">
        <f t="shared" si="26"/>
        <v>-2.153</v>
      </c>
      <c r="T175" s="206"/>
    </row>
    <row r="176" spans="1:20" ht="14.25" customHeight="1" x14ac:dyDescent="0.35">
      <c r="D176" s="1" t="str">
        <f>+IFERROR(IFERROR(VLOOKUP(A176,[7]Sheet1!$A$1:$C$65536,3,0),VLOOKUP(E176,[7]Sheet1!$A$1:$C$65536,3,0)),VLOOKUP(B176,[7]Sheet1!$A$1:$C$65536,3,0))</f>
        <v>NER</v>
      </c>
      <c r="E176" s="205" t="s">
        <v>239</v>
      </c>
      <c r="F176" s="6">
        <f t="shared" si="24"/>
        <v>0</v>
      </c>
      <c r="G176" s="7">
        <f>+IFERROR(IFERROR(VLOOKUP(D176,[2]IMF_fdi_credit_debitinc!$A:$C,3,0),VLOOKUP(E176,[2]IMF_fdi_credit_debitinc!$A:$C,3,0)),0)/1000000</f>
        <v>0</v>
      </c>
      <c r="H176" s="7">
        <f>+IFERROR(VLOOKUP(D176,[2]OECD_COUNTERDO_INCOME!A:B,2,0),0)</f>
        <v>1.337</v>
      </c>
      <c r="I176" s="7" t="e">
        <f>+VLOOKUP(E176,'[2]CBC- IRS'!A:L,6,0)/1000000</f>
        <v>#N/A</v>
      </c>
      <c r="J176" s="7">
        <f t="shared" si="25"/>
        <v>-1.337</v>
      </c>
      <c r="K176" s="8"/>
      <c r="L176" s="7"/>
      <c r="M176" s="7"/>
      <c r="N176" s="7"/>
      <c r="O176" s="7"/>
      <c r="P176" s="6">
        <f t="shared" si="27"/>
        <v>0</v>
      </c>
      <c r="Q176" s="7">
        <f>+IFERROR(IFERROR(VLOOKUP(D176,[2]IMF_fdi_credit_debitinc!$A:$C,2,0),VLOOKUP(O176,[2]IMF_fdi_credit_debitinc!$A:$C,2,0)),0)/1000000</f>
        <v>0</v>
      </c>
      <c r="R176" s="7">
        <f>+IFERROR(VLOOKUP(D176,[2]OECD_COUNTERDI_INCOME!A:B,2,0),0)</f>
        <v>-0.2</v>
      </c>
      <c r="S176" s="7">
        <f t="shared" si="26"/>
        <v>0.2</v>
      </c>
      <c r="T176" s="206"/>
    </row>
    <row r="177" spans="2:20" ht="14.25" customHeight="1" x14ac:dyDescent="0.35">
      <c r="D177" s="1" t="str">
        <f>+IFERROR(IFERROR(VLOOKUP(A177,[7]Sheet1!$A$1:$C$65536,3,0),VLOOKUP(E177,[7]Sheet1!$A$1:$C$65536,3,0)),VLOOKUP(B177,[7]Sheet1!$A$1:$C$65536,3,0))</f>
        <v>NGA</v>
      </c>
      <c r="E177" s="205" t="s">
        <v>240</v>
      </c>
      <c r="F177" s="6">
        <f t="shared" si="24"/>
        <v>0</v>
      </c>
      <c r="G177" s="7">
        <f>+IFERROR(IFERROR(VLOOKUP(D177,[2]IMF_fdi_credit_debitinc!$A:$C,3,0),VLOOKUP(E177,[2]IMF_fdi_credit_debitinc!$A:$C,3,0)),0)/1000000</f>
        <v>0</v>
      </c>
      <c r="H177" s="7">
        <f>+IFERROR(VLOOKUP(D177,[2]OECD_COUNTERDO_INCOME!A:B,2,0),0)</f>
        <v>2118.2089999999998</v>
      </c>
      <c r="I177" s="7">
        <f>+VLOOKUP(E177,'[2]CBC- IRS'!A:L,6,0)/1000000</f>
        <v>1.78292096</v>
      </c>
      <c r="J177" s="7">
        <f t="shared" si="25"/>
        <v>-2118.2089999999998</v>
      </c>
      <c r="K177" s="8"/>
      <c r="L177" s="7"/>
      <c r="M177" s="7"/>
      <c r="N177" s="7"/>
      <c r="O177" s="7"/>
      <c r="P177" s="6">
        <f t="shared" si="27"/>
        <v>0</v>
      </c>
      <c r="Q177" s="7">
        <f>+IFERROR(IFERROR(VLOOKUP(D177,[2]IMF_fdi_credit_debitinc!$A:$C,2,0),VLOOKUP(O177,[2]IMF_fdi_credit_debitinc!$A:$C,2,0)),0)/1000000</f>
        <v>0</v>
      </c>
      <c r="R177" s="7">
        <f>+IFERROR(VLOOKUP(D177,[2]OECD_COUNTERDI_INCOME!A:B,2,0),0)</f>
        <v>2.72</v>
      </c>
      <c r="S177" s="7">
        <f t="shared" si="26"/>
        <v>-2.72</v>
      </c>
      <c r="T177" s="206"/>
    </row>
    <row r="178" spans="2:20" ht="14.25" customHeight="1" x14ac:dyDescent="0.35">
      <c r="D178" s="1" t="str">
        <f>+IFERROR(IFERROR(VLOOKUP(A178,[7]Sheet1!$A$1:$C$65536,3,0),VLOOKUP(E178,[7]Sheet1!$A$1:$C$65536,3,0)),VLOOKUP(B178,[7]Sheet1!$A$1:$C$65536,3,0))</f>
        <v>OMN</v>
      </c>
      <c r="E178" s="205" t="s">
        <v>241</v>
      </c>
      <c r="F178" s="6">
        <f t="shared" si="24"/>
        <v>0</v>
      </c>
      <c r="G178" s="7">
        <f>+IFERROR(IFERROR(VLOOKUP(D178,[2]IMF_fdi_credit_debitinc!$A:$C,3,0),VLOOKUP(E178,[2]IMF_fdi_credit_debitinc!$A:$C,3,0)),0)/1000000</f>
        <v>0</v>
      </c>
      <c r="H178" s="7">
        <f>+IFERROR(VLOOKUP(D178,[2]OECD_COUNTERDO_INCOME!A:B,2,0),0)</f>
        <v>785.16</v>
      </c>
      <c r="I178" s="7">
        <f>+VLOOKUP(E178,'[2]CBC- IRS'!A:L,6,0)/1000000</f>
        <v>0.6237304669999999</v>
      </c>
      <c r="J178" s="7">
        <f t="shared" si="25"/>
        <v>-785.16</v>
      </c>
      <c r="K178" s="8"/>
      <c r="L178" s="7"/>
      <c r="M178" s="7"/>
      <c r="N178" s="7"/>
      <c r="O178" s="7"/>
      <c r="P178" s="6">
        <f t="shared" si="27"/>
        <v>0</v>
      </c>
      <c r="Q178" s="7">
        <f>+IFERROR(IFERROR(VLOOKUP(D178,[2]IMF_fdi_credit_debitinc!$A:$C,2,0),VLOOKUP(O178,[2]IMF_fdi_credit_debitinc!$A:$C,2,0)),0)/1000000</f>
        <v>0</v>
      </c>
      <c r="R178" s="7">
        <f>+IFERROR(VLOOKUP(D178,[2]OECD_COUNTERDI_INCOME!A:B,2,0),0)</f>
        <v>101.938</v>
      </c>
      <c r="S178" s="7">
        <f t="shared" si="26"/>
        <v>-101.938</v>
      </c>
      <c r="T178" s="206"/>
    </row>
    <row r="179" spans="2:20" ht="14.25" customHeight="1" x14ac:dyDescent="0.35">
      <c r="D179" s="1" t="str">
        <f>+IFERROR(IFERROR(VLOOKUP(A179,[7]Sheet1!$A$1:$C$65536,3,0),VLOOKUP(E179,[7]Sheet1!$A$1:$C$65536,3,0)),VLOOKUP(B179,[7]Sheet1!$A$1:$C$65536,3,0))</f>
        <v>PAK</v>
      </c>
      <c r="E179" s="205" t="s">
        <v>242</v>
      </c>
      <c r="F179" s="6">
        <f t="shared" si="24"/>
        <v>3165</v>
      </c>
      <c r="G179" s="7">
        <f>+IFERROR(IFERROR(VLOOKUP(D179,[2]IMF_fdi_credit_debitinc!$A:$C,3,0),VLOOKUP(E179,[2]IMF_fdi_credit_debitinc!$A:$C,3,0)),0)/1000000</f>
        <v>3165</v>
      </c>
      <c r="H179" s="7">
        <f>+IFERROR(VLOOKUP(D179,[2]OECD_COUNTERDO_INCOME!A:B,2,0),0)</f>
        <v>675.72</v>
      </c>
      <c r="I179" s="7">
        <f>+VLOOKUP(E179,'[2]CBC- IRS'!A:L,6,0)/1000000</f>
        <v>0.264415811</v>
      </c>
      <c r="J179" s="7">
        <f t="shared" si="25"/>
        <v>2489.2799999999997</v>
      </c>
      <c r="K179" s="8"/>
      <c r="L179" s="7"/>
      <c r="M179" s="7"/>
      <c r="N179" s="7"/>
      <c r="O179" s="7"/>
      <c r="P179" s="6">
        <f t="shared" si="27"/>
        <v>81</v>
      </c>
      <c r="Q179" s="7">
        <f>+IFERROR(IFERROR(VLOOKUP(D179,[2]IMF_fdi_credit_debitinc!$A:$C,2,0),VLOOKUP(O179,[2]IMF_fdi_credit_debitinc!$A:$C,2,0)),0)/1000000</f>
        <v>81</v>
      </c>
      <c r="R179" s="7">
        <f>+IFERROR(VLOOKUP(D179,[2]OECD_COUNTERDI_INCOME!A:B,2,0),0)</f>
        <v>-12.583</v>
      </c>
      <c r="S179" s="7">
        <f t="shared" si="26"/>
        <v>93.582999999999998</v>
      </c>
      <c r="T179" s="206"/>
    </row>
    <row r="180" spans="2:20" ht="14.25" customHeight="1" x14ac:dyDescent="0.35">
      <c r="D180" s="1" t="str">
        <f>+IFERROR(IFERROR(VLOOKUP(A180,[7]Sheet1!$A$1:$C$65536,3,0),VLOOKUP(E180,[7]Sheet1!$A$1:$C$65536,3,0)),VLOOKUP(B180,[7]Sheet1!$A$1:$C$65536,3,0))</f>
        <v>PLW</v>
      </c>
      <c r="E180" s="205" t="s">
        <v>243</v>
      </c>
      <c r="F180" s="6">
        <f t="shared" si="24"/>
        <v>0</v>
      </c>
      <c r="G180" s="7">
        <f>+IFERROR(IFERROR(VLOOKUP(D180,[2]IMF_fdi_credit_debitinc!$A:$C,3,0),VLOOKUP(E180,[2]IMF_fdi_credit_debitinc!$A:$C,3,0)),0)/1000000</f>
        <v>0</v>
      </c>
      <c r="H180" s="7">
        <f>+IFERROR(VLOOKUP(D180,[2]OECD_COUNTERDO_INCOME!A:B,2,0),0)</f>
        <v>2</v>
      </c>
      <c r="I180" s="7" t="e">
        <f>+VLOOKUP(E180,'[2]CBC- IRS'!A:L,6,0)/1000000</f>
        <v>#N/A</v>
      </c>
      <c r="J180" s="7">
        <f t="shared" si="25"/>
        <v>-2</v>
      </c>
      <c r="K180" s="8"/>
      <c r="L180" s="7"/>
      <c r="M180" s="7"/>
      <c r="N180" s="7"/>
      <c r="O180" s="7"/>
      <c r="P180" s="6">
        <f t="shared" si="27"/>
        <v>0</v>
      </c>
      <c r="Q180" s="7">
        <f>+IFERROR(IFERROR(VLOOKUP(D180,[2]IMF_fdi_credit_debitinc!$A:$C,2,0),VLOOKUP(O180,[2]IMF_fdi_credit_debitinc!$A:$C,2,0)),0)/1000000</f>
        <v>0</v>
      </c>
      <c r="R180" s="7">
        <f>+IFERROR(VLOOKUP(D180,[2]OECD_COUNTERDI_INCOME!A:B,2,0),0)</f>
        <v>0</v>
      </c>
      <c r="S180" s="7">
        <f t="shared" si="26"/>
        <v>0</v>
      </c>
      <c r="T180" s="206"/>
    </row>
    <row r="181" spans="2:20" ht="14.25" customHeight="1" x14ac:dyDescent="0.35">
      <c r="D181" s="1" t="str">
        <f>+IFERROR(IFERROR(VLOOKUP(A181,[7]Sheet1!$A$1:$C$65536,3,0),VLOOKUP(E181,[7]Sheet1!$A$1:$C$65536,3,0)),VLOOKUP(B181,[7]Sheet1!$A$1:$C$65536,3,0))</f>
        <v>PNG</v>
      </c>
      <c r="E181" s="205" t="s">
        <v>244</v>
      </c>
      <c r="F181" s="6">
        <f t="shared" si="24"/>
        <v>0</v>
      </c>
      <c r="G181" s="7">
        <f>+IFERROR(IFERROR(VLOOKUP(D181,[2]IMF_fdi_credit_debitinc!$A:$C,3,0),VLOOKUP(E181,[2]IMF_fdi_credit_debitinc!$A:$C,3,0)),0)/1000000</f>
        <v>0</v>
      </c>
      <c r="H181" s="7">
        <f>+IFERROR(VLOOKUP(D181,[2]OECD_COUNTERDO_INCOME!A:B,2,0),0)</f>
        <v>420.572</v>
      </c>
      <c r="I181" s="7" t="e">
        <f>+VLOOKUP(E181,'[2]CBC- IRS'!A:L,6,0)/1000000</f>
        <v>#N/A</v>
      </c>
      <c r="J181" s="7">
        <f t="shared" si="25"/>
        <v>-420.572</v>
      </c>
      <c r="K181" s="8"/>
      <c r="L181" s="7"/>
      <c r="M181" s="7"/>
      <c r="N181" s="7"/>
      <c r="O181" s="7"/>
      <c r="P181" s="6">
        <f t="shared" si="27"/>
        <v>0</v>
      </c>
      <c r="Q181" s="7">
        <f>+IFERROR(IFERROR(VLOOKUP(D181,[2]IMF_fdi_credit_debitinc!$A:$C,2,0),VLOOKUP(O181,[2]IMF_fdi_credit_debitinc!$A:$C,2,0)),0)/1000000</f>
        <v>0</v>
      </c>
      <c r="R181" s="7">
        <f>+IFERROR(VLOOKUP(D181,[2]OECD_COUNTERDI_INCOME!A:B,2,0),0)</f>
        <v>0</v>
      </c>
      <c r="S181" s="7">
        <f t="shared" si="26"/>
        <v>0</v>
      </c>
      <c r="T181" s="206"/>
    </row>
    <row r="182" spans="2:20" ht="14.25" customHeight="1" x14ac:dyDescent="0.35">
      <c r="D182" s="1" t="str">
        <f>+IFERROR(IFERROR(VLOOKUP(A182,[7]Sheet1!$A$1:$C$65536,3,0),VLOOKUP(E182,[7]Sheet1!$A$1:$C$65536,3,0)),VLOOKUP(B182,[7]Sheet1!$A$1:$C$65536,3,0))</f>
        <v>PRY</v>
      </c>
      <c r="E182" s="205" t="s">
        <v>245</v>
      </c>
      <c r="F182" s="6">
        <f t="shared" si="24"/>
        <v>863.90099999999995</v>
      </c>
      <c r="G182" s="7">
        <f>+IFERROR(IFERROR(VLOOKUP(D182,[2]IMF_fdi_credit_debitinc!$A:$C,3,0),VLOOKUP(E182,[2]IMF_fdi_credit_debitinc!$A:$C,3,0)),0)/1000000</f>
        <v>863.90099999999995</v>
      </c>
      <c r="H182" s="7">
        <f>+IFERROR(VLOOKUP(D182,[2]OECD_COUNTERDO_INCOME!A:B,2,0),0)</f>
        <v>180.47200000000001</v>
      </c>
      <c r="I182" s="7">
        <f>+VLOOKUP(E182,'[2]CBC- IRS'!A:L,6,0)/1000000</f>
        <v>8.7965590999999996E-2</v>
      </c>
      <c r="J182" s="7">
        <f t="shared" si="25"/>
        <v>683.42899999999997</v>
      </c>
      <c r="K182" s="8"/>
      <c r="L182" s="7"/>
      <c r="M182" s="7"/>
      <c r="N182" s="7"/>
      <c r="O182" s="7"/>
      <c r="P182" s="6">
        <f t="shared" si="27"/>
        <v>0.2</v>
      </c>
      <c r="Q182" s="7">
        <f>+IFERROR(IFERROR(VLOOKUP(D182,[2]IMF_fdi_credit_debitinc!$A:$C,2,0),VLOOKUP(O182,[2]IMF_fdi_credit_debitinc!$A:$C,2,0)),0)/1000000</f>
        <v>0.2</v>
      </c>
      <c r="R182" s="7">
        <f>+IFERROR(VLOOKUP(D182,[2]OECD_COUNTERDI_INCOME!A:B,2,0),0)</f>
        <v>-0.29099999999999998</v>
      </c>
      <c r="S182" s="7">
        <f t="shared" si="26"/>
        <v>0.49099999999999999</v>
      </c>
      <c r="T182" s="206"/>
    </row>
    <row r="183" spans="2:20" ht="14.25" customHeight="1" x14ac:dyDescent="0.35">
      <c r="D183" s="1" t="str">
        <f>+IFERROR(IFERROR(VLOOKUP(A183,[7]Sheet1!$A$1:$C$65536,3,0),VLOOKUP(E183,[7]Sheet1!$A$1:$C$65536,3,0)),VLOOKUP(B183,[7]Sheet1!$A$1:$C$65536,3,0))</f>
        <v>PER</v>
      </c>
      <c r="E183" s="205" t="s">
        <v>246</v>
      </c>
      <c r="F183" s="6">
        <f t="shared" si="24"/>
        <v>0</v>
      </c>
      <c r="G183" s="7">
        <f>+IFERROR(IFERROR(VLOOKUP(D183,[2]IMF_fdi_credit_debitinc!$A:$C,3,0),VLOOKUP(E183,[2]IMF_fdi_credit_debitinc!$A:$C,3,0)),0)/1000000</f>
        <v>0</v>
      </c>
      <c r="H183" s="7">
        <f>+IFERROR(VLOOKUP(D183,[2]OECD_COUNTERDO_INCOME!A:B,2,0),0)</f>
        <v>859.47699999999998</v>
      </c>
      <c r="I183" s="7">
        <f>+VLOOKUP(E183,'[2]CBC- IRS'!A:L,6,0)/1000000</f>
        <v>1.0401602050000001</v>
      </c>
      <c r="J183" s="7">
        <f t="shared" si="25"/>
        <v>-859.47699999999998</v>
      </c>
      <c r="K183" s="8"/>
      <c r="L183" s="7"/>
      <c r="M183" s="7"/>
      <c r="N183" s="7"/>
      <c r="O183" s="7"/>
      <c r="P183" s="6">
        <f t="shared" si="27"/>
        <v>0</v>
      </c>
      <c r="Q183" s="7">
        <f>+IFERROR(IFERROR(VLOOKUP(D183,[2]IMF_fdi_credit_debitinc!$A:$C,2,0),VLOOKUP(O183,[2]IMF_fdi_credit_debitinc!$A:$C,2,0)),0)/1000000</f>
        <v>0</v>
      </c>
      <c r="R183" s="7">
        <f>+IFERROR(VLOOKUP(D183,[2]OECD_COUNTERDI_INCOME!A:B,2,0),0)</f>
        <v>41.957999999999998</v>
      </c>
      <c r="S183" s="7">
        <f t="shared" si="26"/>
        <v>-41.957999999999998</v>
      </c>
      <c r="T183" s="206"/>
    </row>
    <row r="184" spans="2:20" ht="14.25" customHeight="1" x14ac:dyDescent="0.35">
      <c r="D184" s="1" t="str">
        <f>+IFERROR(IFERROR(VLOOKUP(A184,[7]Sheet1!$A$1:$C$65536,3,0),VLOOKUP(E184,[7]Sheet1!$A$1:$C$65536,3,0)),VLOOKUP(B184,[7]Sheet1!$A$1:$C$65536,3,0))</f>
        <v>PHL</v>
      </c>
      <c r="E184" s="205" t="s">
        <v>247</v>
      </c>
      <c r="F184" s="6">
        <f t="shared" si="24"/>
        <v>0</v>
      </c>
      <c r="G184" s="7">
        <f>+IFERROR(IFERROR(VLOOKUP(D184,[2]IMF_fdi_credit_debitinc!$A:$C,3,0),VLOOKUP(E184,[2]IMF_fdi_credit_debitinc!$A:$C,3,0)),0)/1000000</f>
        <v>0</v>
      </c>
      <c r="H184" s="7">
        <f>+IFERROR(VLOOKUP(D184,[2]OECD_COUNTERDO_INCOME!A:B,2,0),0)</f>
        <v>3931.248</v>
      </c>
      <c r="I184" s="7">
        <f>+VLOOKUP(E184,'[2]CBC- IRS'!A:L,6,0)/1000000</f>
        <v>3.2760080880000002</v>
      </c>
      <c r="J184" s="7">
        <f t="shared" si="25"/>
        <v>-3931.248</v>
      </c>
      <c r="K184" s="8"/>
      <c r="L184" s="7"/>
      <c r="M184" s="7"/>
      <c r="N184" s="7"/>
      <c r="O184" s="7"/>
      <c r="P184" s="6">
        <f t="shared" si="27"/>
        <v>0</v>
      </c>
      <c r="Q184" s="7">
        <f>+IFERROR(IFERROR(VLOOKUP(D184,[2]IMF_fdi_credit_debitinc!$A:$C,2,0),VLOOKUP(O184,[2]IMF_fdi_credit_debitinc!$A:$C,2,0)),0)/1000000</f>
        <v>0</v>
      </c>
      <c r="R184" s="7">
        <f>+IFERROR(VLOOKUP(D184,[2]OECD_COUNTERDI_INCOME!A:B,2,0),0)</f>
        <v>-19.204000000000001</v>
      </c>
      <c r="S184" s="7">
        <f t="shared" si="26"/>
        <v>19.204000000000001</v>
      </c>
      <c r="T184" s="206"/>
    </row>
    <row r="185" spans="2:20" ht="14.25" customHeight="1" x14ac:dyDescent="0.35">
      <c r="D185" s="1" t="str">
        <f>+IFERROR(IFERROR(VLOOKUP(A185,[7]Sheet1!$A$1:$C$65536,3,0),VLOOKUP(E185,[7]Sheet1!$A$1:$C$65536,3,0)),VLOOKUP(B185,[7]Sheet1!$A$1:$C$65536,3,0))</f>
        <v>QAT</v>
      </c>
      <c r="E185" s="205" t="s">
        <v>248</v>
      </c>
      <c r="F185" s="6">
        <f t="shared" si="24"/>
        <v>0</v>
      </c>
      <c r="G185" s="7">
        <f>+IFERROR(IFERROR(VLOOKUP(D185,[2]IMF_fdi_credit_debitinc!$A:$C,3,0),VLOOKUP(E185,[2]IMF_fdi_credit_debitinc!$A:$C,3,0)),0)/1000000</f>
        <v>0</v>
      </c>
      <c r="H185" s="7">
        <f>+IFERROR(VLOOKUP(D185,[2]OECD_COUNTERDO_INCOME!A:B,2,0),0)</f>
        <v>4988.75</v>
      </c>
      <c r="I185" s="7">
        <f>+VLOOKUP(E185,'[2]CBC- IRS'!A:L,6,0)/1000000</f>
        <v>1.0604227909999999</v>
      </c>
      <c r="J185" s="7"/>
      <c r="K185" s="8"/>
      <c r="L185" s="7"/>
      <c r="M185" s="7"/>
      <c r="N185" s="7"/>
      <c r="O185" s="7"/>
      <c r="P185" s="6">
        <f t="shared" si="27"/>
        <v>0</v>
      </c>
      <c r="Q185" s="7">
        <f>+IFERROR(IFERROR(VLOOKUP(D185,[2]IMF_fdi_credit_debitinc!$A:$C,2,0),VLOOKUP(O185,[2]IMF_fdi_credit_debitinc!$A:$C,2,0)),0)/1000000</f>
        <v>0</v>
      </c>
      <c r="R185" s="7">
        <f>+IFERROR(VLOOKUP(D185,[2]OECD_COUNTERDI_INCOME!A:B,2,0),0)</f>
        <v>734.76700000000005</v>
      </c>
      <c r="S185" s="7"/>
      <c r="T185" s="206"/>
    </row>
    <row r="186" spans="2:20" ht="14.25" customHeight="1" x14ac:dyDescent="0.35">
      <c r="D186" s="1" t="str">
        <f>+IFERROR(IFERROR(VLOOKUP(A186,[7]Sheet1!$A$1:$C$65536,3,0),VLOOKUP(E186,[7]Sheet1!$A$1:$C$65536,3,0)),VLOOKUP(B186,[7]Sheet1!$A$1:$C$65536,3,0))</f>
        <v>ROU</v>
      </c>
      <c r="E186" s="205" t="s">
        <v>249</v>
      </c>
      <c r="F186" s="6">
        <f t="shared" si="24"/>
        <v>7373.85</v>
      </c>
      <c r="G186" s="7">
        <f>+IFERROR(IFERROR(VLOOKUP(D186,[2]IMF_fdi_credit_debitinc!$A:$C,3,0),VLOOKUP(E186,[2]IMF_fdi_credit_debitinc!$A:$C,3,0)),0)/1000000</f>
        <v>7373.85</v>
      </c>
      <c r="H186" s="7">
        <f>+IFERROR(VLOOKUP(D186,[2]OECD_COUNTERDO_INCOME!A:B,2,0),0)</f>
        <v>0</v>
      </c>
      <c r="I186" s="7">
        <f>+VLOOKUP(E186,'[2]CBC- IRS'!A:L,6,0)/1000000</f>
        <v>0.7968270919999999</v>
      </c>
      <c r="J186" s="7">
        <f>+F186-H186</f>
        <v>7373.85</v>
      </c>
      <c r="K186" s="8"/>
      <c r="L186" s="7"/>
      <c r="M186" s="7"/>
      <c r="N186" s="7"/>
      <c r="O186" s="7"/>
      <c r="P186" s="6">
        <f t="shared" si="27"/>
        <v>49.69885132844</v>
      </c>
      <c r="Q186" s="7">
        <f>+IFERROR(IFERROR(VLOOKUP(D186,[2]IMF_fdi_credit_debitinc!$A:$C,2,0),VLOOKUP(O186,[2]IMF_fdi_credit_debitinc!$A:$C,2,0)),0)/1000000</f>
        <v>49.69885132844</v>
      </c>
      <c r="R186" s="7">
        <f>+IFERROR(VLOOKUP(D186,[2]OECD_COUNTERDI_INCOME!A:B,2,0),0)</f>
        <v>0</v>
      </c>
      <c r="S186" s="7">
        <f>+P186-R186</f>
        <v>49.69885132844</v>
      </c>
      <c r="T186" s="206"/>
    </row>
    <row r="187" spans="2:20" ht="14.25" customHeight="1" x14ac:dyDescent="0.35">
      <c r="D187" s="1" t="str">
        <f>+IFERROR(IFERROR(VLOOKUP(A187,[7]Sheet1!$A$1:$C$65536,3,0),VLOOKUP(E187,[7]Sheet1!$A$1:$C$65536,3,0)),VLOOKUP(B187,[7]Sheet1!$A$1:$C$65536,3,0))</f>
        <v>RWA</v>
      </c>
      <c r="E187" s="205" t="s">
        <v>250</v>
      </c>
      <c r="F187" s="6">
        <f t="shared" si="24"/>
        <v>0</v>
      </c>
      <c r="G187" s="7">
        <f>+IFERROR(IFERROR(VLOOKUP(D187,[2]IMF_fdi_credit_debitinc!$A:$C,3,0),VLOOKUP(E187,[2]IMF_fdi_credit_debitinc!$A:$C,3,0)),0)/1000000</f>
        <v>0</v>
      </c>
      <c r="H187" s="7">
        <f>+IFERROR(VLOOKUP(D187,[2]OECD_COUNTERDO_INCOME!A:B,2,0),0)</f>
        <v>0.84199999999999997</v>
      </c>
      <c r="I187" s="7" t="e">
        <f>+VLOOKUP(E187,'[2]CBC- IRS'!A:L,6,0)/1000000</f>
        <v>#N/A</v>
      </c>
      <c r="J187" s="7">
        <f>+F187-H187</f>
        <v>-0.84199999999999997</v>
      </c>
      <c r="K187" s="8"/>
      <c r="L187" s="7"/>
      <c r="M187" s="7"/>
      <c r="N187" s="7"/>
      <c r="O187" s="7"/>
      <c r="P187" s="6">
        <f t="shared" si="27"/>
        <v>0</v>
      </c>
      <c r="Q187" s="7">
        <f>+IFERROR(IFERROR(VLOOKUP(D187,[2]IMF_fdi_credit_debitinc!$A:$C,2,0),VLOOKUP(O187,[2]IMF_fdi_credit_debitinc!$A:$C,2,0)),0)/1000000</f>
        <v>0</v>
      </c>
      <c r="R187" s="7">
        <f>+IFERROR(VLOOKUP(D187,[2]OECD_COUNTERDI_INCOME!A:B,2,0),0)</f>
        <v>-1.0999999999999999E-2</v>
      </c>
      <c r="S187" s="7">
        <f>+P187-R187</f>
        <v>1.0999999999999999E-2</v>
      </c>
      <c r="T187" s="206"/>
    </row>
    <row r="188" spans="2:20" ht="14.25" customHeight="1" x14ac:dyDescent="0.35">
      <c r="D188" s="1" t="str">
        <f>+IFERROR(IFERROR(VLOOKUP(A188,[7]Sheet1!$A$1:$C$65536,3,0),VLOOKUP(E188,[7]Sheet1!$A$1:$C$65536,3,0)),VLOOKUP(B188,[7]Sheet1!$A$1:$C$65536,3,0))</f>
        <v>WSM</v>
      </c>
      <c r="E188" s="205" t="s">
        <v>251</v>
      </c>
      <c r="F188" s="6">
        <f t="shared" si="24"/>
        <v>0</v>
      </c>
      <c r="G188" s="7">
        <f>+IFERROR(IFERROR(VLOOKUP(D188,[2]IMF_fdi_credit_debitinc!$A:$C,3,0),VLOOKUP(E188,[2]IMF_fdi_credit_debitinc!$A:$C,3,0)),0)/1000000</f>
        <v>0</v>
      </c>
      <c r="H188" s="7">
        <f>+IFERROR(VLOOKUP(D188,[2]OECD_COUNTERDO_INCOME!A:B,2,0),0)</f>
        <v>-1</v>
      </c>
      <c r="I188" s="7" t="e">
        <f>+VLOOKUP(E188,'[2]CBC- IRS'!A:L,6,0)/1000000</f>
        <v>#N/A</v>
      </c>
      <c r="J188" s="7">
        <f>+F188-H188</f>
        <v>1</v>
      </c>
      <c r="K188" s="8"/>
      <c r="L188" s="7"/>
      <c r="M188" s="7"/>
      <c r="N188" s="7"/>
      <c r="O188" s="7"/>
      <c r="P188" s="6">
        <f t="shared" si="27"/>
        <v>0</v>
      </c>
      <c r="Q188" s="7">
        <f>+IFERROR(IFERROR(VLOOKUP(D188,[2]IMF_fdi_credit_debitinc!$A:$C,2,0),VLOOKUP(O188,[2]IMF_fdi_credit_debitinc!$A:$C,2,0)),0)/1000000</f>
        <v>0</v>
      </c>
      <c r="R188" s="7">
        <f>+IFERROR(VLOOKUP(D188,[2]OECD_COUNTERDI_INCOME!A:B,2,0),0)</f>
        <v>1.508</v>
      </c>
      <c r="S188" s="7">
        <f>+P188-R188</f>
        <v>-1.508</v>
      </c>
      <c r="T188" s="206"/>
    </row>
    <row r="189" spans="2:20" ht="14.25" customHeight="1" x14ac:dyDescent="0.35">
      <c r="D189" s="1" t="str">
        <f>+IFERROR(IFERROR(VLOOKUP(A189,[7]Sheet1!$A$1:$C$65536,3,0),VLOOKUP(E189,[7]Sheet1!$A$1:$C$65536,3,0)),VLOOKUP(B189,[7]Sheet1!$A$1:$C$65536,3,0))</f>
        <v>STP</v>
      </c>
      <c r="E189" s="205" t="s">
        <v>252</v>
      </c>
      <c r="F189" s="6">
        <f t="shared" si="24"/>
        <v>0</v>
      </c>
      <c r="G189" s="7">
        <f>+IFERROR(IFERROR(VLOOKUP(D189,[2]IMF_fdi_credit_debitinc!$A:$C,3,0),VLOOKUP(E189,[2]IMF_fdi_credit_debitinc!$A:$C,3,0)),0)/1000000</f>
        <v>0</v>
      </c>
      <c r="H189" s="7">
        <f>+IFERROR(VLOOKUP(D189,[2]OECD_COUNTERDO_INCOME!A:B,2,0),0)</f>
        <v>2.2389999999999999</v>
      </c>
      <c r="I189" s="7" t="e">
        <f>+VLOOKUP(E189,'[2]CBC- IRS'!A:L,6,0)/1000000</f>
        <v>#N/A</v>
      </c>
      <c r="J189" s="7"/>
      <c r="K189" s="8"/>
      <c r="L189" s="7"/>
      <c r="M189" s="7"/>
      <c r="N189" s="7"/>
      <c r="O189" s="7"/>
      <c r="P189" s="6">
        <f t="shared" si="27"/>
        <v>0</v>
      </c>
      <c r="Q189" s="7">
        <f>+IFERROR(IFERROR(VLOOKUP(D189,[2]IMF_fdi_credit_debitinc!$A:$C,2,0),VLOOKUP(O189,[2]IMF_fdi_credit_debitinc!$A:$C,2,0)),0)/1000000</f>
        <v>0</v>
      </c>
      <c r="R189" s="7">
        <f>+IFERROR(VLOOKUP(D189,[2]OECD_COUNTERDI_INCOME!A:B,2,0),0)</f>
        <v>0</v>
      </c>
      <c r="S189" s="7"/>
      <c r="T189" s="206"/>
    </row>
    <row r="190" spans="2:20" ht="14.25" customHeight="1" x14ac:dyDescent="0.35">
      <c r="D190" s="1" t="str">
        <f>+IFERROR(IFERROR(VLOOKUP(A190,[7]Sheet1!$A$1:$C$65536,3,0),VLOOKUP(E190,[7]Sheet1!$A$1:$C$65536,3,0)),VLOOKUP(B190,[7]Sheet1!$A$1:$C$65536,3,0))</f>
        <v>SAU</v>
      </c>
      <c r="E190" s="205" t="s">
        <v>253</v>
      </c>
      <c r="F190" s="6">
        <f t="shared" si="24"/>
        <v>3734.08</v>
      </c>
      <c r="G190" s="7">
        <f>+IFERROR(IFERROR(VLOOKUP(D190,[2]IMF_fdi_credit_debitinc!$A:$C,3,0),VLOOKUP(E190,[2]IMF_fdi_credit_debitinc!$A:$C,3,0)),0)/1000000</f>
        <v>3734.08</v>
      </c>
      <c r="H190" s="7">
        <f>+IFERROR(VLOOKUP(D190,[2]OECD_COUNTERDO_INCOME!A:B,2,0),0)</f>
        <v>2623.3</v>
      </c>
      <c r="I190" s="7">
        <f>+VLOOKUP(E190,'[2]CBC- IRS'!A:L,6,0)/1000000</f>
        <v>-0.29751240899999998</v>
      </c>
      <c r="J190" s="7">
        <f t="shared" ref="J190:J218" si="28">+F190-H190</f>
        <v>1110.7799999999997</v>
      </c>
      <c r="K190" s="8"/>
      <c r="L190" s="7"/>
      <c r="M190" s="7"/>
      <c r="N190" s="7"/>
      <c r="O190" s="7"/>
      <c r="P190" s="6">
        <f t="shared" si="27"/>
        <v>5097.91</v>
      </c>
      <c r="Q190" s="7">
        <f>+IFERROR(IFERROR(VLOOKUP(D190,[2]IMF_fdi_credit_debitinc!$A:$C,2,0),VLOOKUP(O190,[2]IMF_fdi_credit_debitinc!$A:$C,2,0)),0)/1000000</f>
        <v>5097.91</v>
      </c>
      <c r="R190" s="7">
        <f>+IFERROR(VLOOKUP(D190,[2]OECD_COUNTERDI_INCOME!A:B,2,0),0)</f>
        <v>1046.0170000000001</v>
      </c>
      <c r="S190" s="7">
        <f t="shared" ref="S190:S218" si="29">+P190-R190</f>
        <v>4051.893</v>
      </c>
      <c r="T190" s="206"/>
    </row>
    <row r="191" spans="2:20" ht="14.25" customHeight="1" x14ac:dyDescent="0.35">
      <c r="D191" s="1" t="str">
        <f>+IFERROR(IFERROR(VLOOKUP(A191,[7]Sheet1!$A$1:$C$65536,3,0),VLOOKUP(E191,[7]Sheet1!$A$1:$C$65536,3,0)),VLOOKUP(B191,[7]Sheet1!$A$1:$C$65536,3,0))</f>
        <v>SEN</v>
      </c>
      <c r="E191" s="205" t="s">
        <v>254</v>
      </c>
      <c r="F191" s="6">
        <f t="shared" si="24"/>
        <v>0</v>
      </c>
      <c r="G191" s="7">
        <f>+IFERROR(IFERROR(VLOOKUP(D191,[2]IMF_fdi_credit_debitinc!$A:$C,3,0),VLOOKUP(E191,[2]IMF_fdi_credit_debitinc!$A:$C,3,0)),0)/1000000</f>
        <v>0</v>
      </c>
      <c r="H191" s="7">
        <f>+IFERROR(VLOOKUP(D191,[2]OECD_COUNTERDO_INCOME!A:B,2,0),0)</f>
        <v>3.9940000000000002</v>
      </c>
      <c r="I191" s="7">
        <f>+VLOOKUP(E191,'[2]CBC- IRS'!A:L,6,0)/1000000</f>
        <v>1.7031939999999999E-2</v>
      </c>
      <c r="J191" s="7">
        <f t="shared" si="28"/>
        <v>-3.9940000000000002</v>
      </c>
      <c r="K191" s="8"/>
      <c r="L191" s="7"/>
      <c r="M191" s="7"/>
      <c r="N191" s="7"/>
      <c r="O191" s="7"/>
      <c r="P191" s="6">
        <f t="shared" si="27"/>
        <v>0</v>
      </c>
      <c r="Q191" s="7">
        <f>+IFERROR(IFERROR(VLOOKUP(D191,[2]IMF_fdi_credit_debitinc!$A:$C,2,0),VLOOKUP(O191,[2]IMF_fdi_credit_debitinc!$A:$C,2,0)),0)/1000000</f>
        <v>0</v>
      </c>
      <c r="R191" s="7">
        <f>+IFERROR(VLOOKUP(D191,[2]OECD_COUNTERDI_INCOME!A:B,2,0),0)</f>
        <v>0.187</v>
      </c>
      <c r="S191" s="7">
        <f t="shared" si="29"/>
        <v>-0.187</v>
      </c>
      <c r="T191" s="206"/>
    </row>
    <row r="192" spans="2:20" ht="14.25" customHeight="1" x14ac:dyDescent="0.35">
      <c r="B192" s="13" t="s">
        <v>255</v>
      </c>
      <c r="D192" s="1" t="e">
        <f>+IFERROR(IFERROR(VLOOKUP(A192,[7]Sheet1!$A$1:$C$65536,3,0),VLOOKUP(E192,[7]Sheet1!$A$1:$C$65536,3,0)),VLOOKUP(B192,[7]Sheet1!$A$1:$C$65536,3,0))</f>
        <v>#N/A</v>
      </c>
      <c r="E192" s="205" t="s">
        <v>256</v>
      </c>
      <c r="F192" s="6">
        <f t="shared" si="24"/>
        <v>0</v>
      </c>
      <c r="G192" s="7">
        <f>+IFERROR(IFERROR(VLOOKUP(D192,[2]IMF_fdi_credit_debitinc!$A:$C,3,0),VLOOKUP(E192,[2]IMF_fdi_credit_debitinc!$A:$C,3,0)),0)/1000000</f>
        <v>0</v>
      </c>
      <c r="H192" s="7">
        <f>+IFERROR(VLOOKUP(D192,[2]OECD_COUNTERDO_INCOME!A:B,2,0),0)</f>
        <v>0</v>
      </c>
      <c r="I192" s="7">
        <f>+VLOOKUP(E192,'[2]CBC- IRS'!A:L,6,0)/1000000</f>
        <v>0.20282130799999998</v>
      </c>
      <c r="J192" s="7">
        <f t="shared" si="28"/>
        <v>0</v>
      </c>
      <c r="K192" s="8"/>
      <c r="L192" s="7"/>
      <c r="M192" s="7"/>
      <c r="N192" s="7"/>
      <c r="O192" s="7"/>
      <c r="P192" s="6">
        <f t="shared" si="27"/>
        <v>0</v>
      </c>
      <c r="Q192" s="7">
        <f>+IFERROR(IFERROR(VLOOKUP(D192,[2]IMF_fdi_credit_debitinc!$A:$C,2,0),VLOOKUP(O192,[2]IMF_fdi_credit_debitinc!$A:$C,2,0)),0)/1000000</f>
        <v>0</v>
      </c>
      <c r="R192" s="7">
        <f>+IFERROR(VLOOKUP(D192,[2]OECD_COUNTERDI_INCOME!A:B,2,0),0)</f>
        <v>0</v>
      </c>
      <c r="S192" s="7">
        <f t="shared" si="29"/>
        <v>0</v>
      </c>
      <c r="T192" s="206"/>
    </row>
    <row r="193" spans="2:20" ht="14.25" customHeight="1" x14ac:dyDescent="0.35">
      <c r="D193" s="1" t="str">
        <f>+IFERROR(IFERROR(VLOOKUP(A193,[7]Sheet1!$A$1:$C$65536,3,0),VLOOKUP(E193,[7]Sheet1!$A$1:$C$65536,3,0)),VLOOKUP(B193,[7]Sheet1!$A$1:$C$65536,3,0))</f>
        <v>SLE</v>
      </c>
      <c r="E193" s="205" t="s">
        <v>257</v>
      </c>
      <c r="F193" s="6">
        <f t="shared" si="24"/>
        <v>0</v>
      </c>
      <c r="G193" s="7">
        <f>+IFERROR(IFERROR(VLOOKUP(D193,[2]IMF_fdi_credit_debitinc!$A:$C,3,0),VLOOKUP(E193,[2]IMF_fdi_credit_debitinc!$A:$C,3,0)),0)/1000000</f>
        <v>0</v>
      </c>
      <c r="H193" s="7">
        <f>+IFERROR(VLOOKUP(D193,[2]OECD_COUNTERDO_INCOME!A:B,2,0),0)</f>
        <v>0.51400000000000001</v>
      </c>
      <c r="I193" s="7" t="e">
        <f>+VLOOKUP(E193,'[2]CBC- IRS'!A:L,6,0)/1000000</f>
        <v>#N/A</v>
      </c>
      <c r="J193" s="7">
        <f t="shared" si="28"/>
        <v>-0.51400000000000001</v>
      </c>
      <c r="K193" s="8"/>
      <c r="L193" s="7"/>
      <c r="M193" s="7"/>
      <c r="N193" s="7"/>
      <c r="O193" s="7"/>
      <c r="P193" s="6">
        <f t="shared" si="27"/>
        <v>0</v>
      </c>
      <c r="Q193" s="7">
        <f>+IFERROR(IFERROR(VLOOKUP(D193,[2]IMF_fdi_credit_debitinc!$A:$C,2,0),VLOOKUP(O193,[2]IMF_fdi_credit_debitinc!$A:$C,2,0)),0)/1000000</f>
        <v>0</v>
      </c>
      <c r="R193" s="7">
        <f>+IFERROR(VLOOKUP(D193,[2]OECD_COUNTERDI_INCOME!A:B,2,0),0)</f>
        <v>0.157</v>
      </c>
      <c r="S193" s="7">
        <f t="shared" si="29"/>
        <v>-0.157</v>
      </c>
      <c r="T193" s="206"/>
    </row>
    <row r="194" spans="2:20" ht="14.25" customHeight="1" x14ac:dyDescent="0.35">
      <c r="D194" s="1" t="str">
        <f>+IFERROR(IFERROR(VLOOKUP(A194,[7]Sheet1!$A$1:$C$65536,3,0),VLOOKUP(E194,[7]Sheet1!$A$1:$C$65536,3,0)),VLOOKUP(B194,[7]Sheet1!$A$1:$C$65536,3,0))</f>
        <v>SLB</v>
      </c>
      <c r="E194" s="205" t="s">
        <v>258</v>
      </c>
      <c r="F194" s="6">
        <f t="shared" si="24"/>
        <v>0</v>
      </c>
      <c r="G194" s="7">
        <f>+IFERROR(IFERROR(VLOOKUP(D194,[2]IMF_fdi_credit_debitinc!$A:$C,3,0),VLOOKUP(E194,[2]IMF_fdi_credit_debitinc!$A:$C,3,0)),0)/1000000</f>
        <v>0</v>
      </c>
      <c r="H194" s="7">
        <f>+IFERROR(VLOOKUP(D194,[2]OECD_COUNTERDO_INCOME!A:B,2,0),0)</f>
        <v>17.933</v>
      </c>
      <c r="I194" s="7" t="e">
        <f>+VLOOKUP(E194,'[2]CBC- IRS'!A:L,6,0)/1000000</f>
        <v>#N/A</v>
      </c>
      <c r="J194" s="7">
        <f t="shared" si="28"/>
        <v>-17.933</v>
      </c>
      <c r="K194" s="8"/>
      <c r="L194" s="7"/>
      <c r="M194" s="7"/>
      <c r="N194" s="7"/>
      <c r="O194" s="7"/>
      <c r="P194" s="6">
        <f t="shared" si="27"/>
        <v>0</v>
      </c>
      <c r="Q194" s="7">
        <f>+IFERROR(IFERROR(VLOOKUP(D194,[2]IMF_fdi_credit_debitinc!$A:$C,2,0),VLOOKUP(O194,[2]IMF_fdi_credit_debitinc!$A:$C,2,0)),0)/1000000</f>
        <v>0</v>
      </c>
      <c r="R194" s="7">
        <f>+IFERROR(VLOOKUP(D194,[2]OECD_COUNTERDI_INCOME!A:B,2,0),0)</f>
        <v>0</v>
      </c>
      <c r="S194" s="7">
        <f t="shared" si="29"/>
        <v>0</v>
      </c>
      <c r="T194" s="206"/>
    </row>
    <row r="195" spans="2:20" ht="14.25" customHeight="1" x14ac:dyDescent="0.35">
      <c r="D195" s="1" t="e">
        <f>+IFERROR(IFERROR(VLOOKUP(A195,[7]Sheet1!$A$1:$C$65536,3,0),VLOOKUP(E195,[7]Sheet1!$A$1:$C$65536,3,0)),VLOOKUP(B195,[7]Sheet1!$A$1:$C$65536,3,0))</f>
        <v>#N/A</v>
      </c>
      <c r="E195" s="205" t="s">
        <v>259</v>
      </c>
      <c r="F195" s="6">
        <f t="shared" si="24"/>
        <v>0</v>
      </c>
      <c r="G195" s="7">
        <f>+IFERROR(IFERROR(VLOOKUP(D195,[2]IMF_fdi_credit_debitinc!$A:$C,3,0),VLOOKUP(E195,[2]IMF_fdi_credit_debitinc!$A:$C,3,0)),0)/1000000</f>
        <v>0</v>
      </c>
      <c r="H195" s="7">
        <f>+IFERROR(VLOOKUP(D195,[2]OECD_COUNTERDO_INCOME!A:B,2,0),0)</f>
        <v>0</v>
      </c>
      <c r="I195" s="7" t="e">
        <f>+VLOOKUP(E195,'[2]CBC- IRS'!A:L,6,0)/1000000</f>
        <v>#N/A</v>
      </c>
      <c r="J195" s="7">
        <f t="shared" si="28"/>
        <v>0</v>
      </c>
      <c r="K195" s="8"/>
      <c r="L195" s="7"/>
      <c r="M195" s="7"/>
      <c r="N195" s="7"/>
      <c r="O195" s="7"/>
      <c r="P195" s="6">
        <f t="shared" si="27"/>
        <v>0</v>
      </c>
      <c r="Q195" s="7">
        <f>+IFERROR(IFERROR(VLOOKUP(D195,[2]IMF_fdi_credit_debitinc!$A:$C,2,0),VLOOKUP(O195,[2]IMF_fdi_credit_debitinc!$A:$C,2,0)),0)/1000000</f>
        <v>0</v>
      </c>
      <c r="R195" s="7">
        <f>+IFERROR(VLOOKUP(D195,[2]OECD_COUNTERDI_INCOME!A:B,2,0),0)</f>
        <v>0</v>
      </c>
      <c r="S195" s="7">
        <f t="shared" si="29"/>
        <v>0</v>
      </c>
      <c r="T195" s="206"/>
    </row>
    <row r="196" spans="2:20" ht="14.25" customHeight="1" x14ac:dyDescent="0.35">
      <c r="D196" s="1" t="str">
        <f>+IFERROR(IFERROR(VLOOKUP(A196,[7]Sheet1!$A$1:$C$65536,3,0),VLOOKUP(E196,[7]Sheet1!$A$1:$C$65536,3,0)),VLOOKUP(B196,[7]Sheet1!$A$1:$C$65536,3,0))</f>
        <v>SDN</v>
      </c>
      <c r="E196" s="205" t="s">
        <v>260</v>
      </c>
      <c r="F196" s="6">
        <f t="shared" si="24"/>
        <v>0</v>
      </c>
      <c r="G196" s="7">
        <f>+IFERROR(IFERROR(VLOOKUP(D196,[2]IMF_fdi_credit_debitinc!$A:$C,3,0),VLOOKUP(E196,[2]IMF_fdi_credit_debitinc!$A:$C,3,0)),0)/1000000</f>
        <v>0</v>
      </c>
      <c r="H196" s="7">
        <f>+IFERROR(VLOOKUP(D196,[2]OECD_COUNTERDO_INCOME!A:B,2,0),0)</f>
        <v>0.158</v>
      </c>
      <c r="I196" s="7" t="e">
        <f>+VLOOKUP(E196,'[2]CBC- IRS'!A:L,6,0)/1000000</f>
        <v>#N/A</v>
      </c>
      <c r="J196" s="7">
        <f t="shared" si="28"/>
        <v>-0.158</v>
      </c>
      <c r="K196" s="8"/>
      <c r="L196" s="7"/>
      <c r="M196" s="7"/>
      <c r="N196" s="7"/>
      <c r="O196" s="7"/>
      <c r="P196" s="6">
        <f t="shared" si="27"/>
        <v>0</v>
      </c>
      <c r="Q196" s="7">
        <f>+IFERROR(IFERROR(VLOOKUP(D196,[2]IMF_fdi_credit_debitinc!$A:$C,2,0),VLOOKUP(O196,[2]IMF_fdi_credit_debitinc!$A:$C,2,0)),0)/1000000</f>
        <v>0</v>
      </c>
      <c r="R196" s="7">
        <f>+IFERROR(VLOOKUP(D196,[2]OECD_COUNTERDI_INCOME!A:B,2,0),0)</f>
        <v>0</v>
      </c>
      <c r="S196" s="7">
        <f t="shared" si="29"/>
        <v>0</v>
      </c>
      <c r="T196" s="206"/>
    </row>
    <row r="197" spans="2:20" ht="14.25" customHeight="1" x14ac:dyDescent="0.35">
      <c r="D197" s="1" t="str">
        <f>+IFERROR(IFERROR(VLOOKUP(A197,[7]Sheet1!$A$1:$C$65536,3,0),VLOOKUP(E197,[7]Sheet1!$A$1:$C$65536,3,0)),VLOOKUP(B197,[7]Sheet1!$A$1:$C$65536,3,0))</f>
        <v>SUR</v>
      </c>
      <c r="E197" s="205" t="s">
        <v>261</v>
      </c>
      <c r="F197" s="6">
        <f t="shared" si="24"/>
        <v>269.27199999999999</v>
      </c>
      <c r="G197" s="7">
        <f>+IFERROR(IFERROR(VLOOKUP(D197,[2]IMF_fdi_credit_debitinc!$A:$C,3,0),VLOOKUP(E197,[2]IMF_fdi_credit_debitinc!$A:$C,3,0)),0)/1000000</f>
        <v>269.27199999999999</v>
      </c>
      <c r="H197" s="7">
        <f>+IFERROR(VLOOKUP(D197,[2]OECD_COUNTERDO_INCOME!A:B,2,0),0)</f>
        <v>4.2510000000000003</v>
      </c>
      <c r="I197" s="7" t="e">
        <f>+VLOOKUP(E197,'[2]CBC- IRS'!A:L,6,0)/1000000</f>
        <v>#N/A</v>
      </c>
      <c r="J197" s="7">
        <f t="shared" si="28"/>
        <v>265.02100000000002</v>
      </c>
      <c r="K197" s="8"/>
      <c r="L197" s="7"/>
      <c r="M197" s="7"/>
      <c r="N197" s="7"/>
      <c r="O197" s="7"/>
      <c r="P197" s="6">
        <f t="shared" si="27"/>
        <v>0</v>
      </c>
      <c r="Q197" s="7">
        <f>+IFERROR(IFERROR(VLOOKUP(D197,[2]IMF_fdi_credit_debitinc!$A:$C,2,0),VLOOKUP(O197,[2]IMF_fdi_credit_debitinc!$A:$C,2,0)),0)/1000000</f>
        <v>0</v>
      </c>
      <c r="R197" s="7">
        <f>+IFERROR(VLOOKUP(D197,[2]OECD_COUNTERDI_INCOME!A:B,2,0),0)</f>
        <v>2.2389999999999999</v>
      </c>
      <c r="S197" s="7">
        <f t="shared" si="29"/>
        <v>-2.2389999999999999</v>
      </c>
      <c r="T197" s="206"/>
    </row>
    <row r="198" spans="2:20" ht="14.25" customHeight="1" x14ac:dyDescent="0.35">
      <c r="D198" s="1" t="e">
        <f>+IFERROR(IFERROR(VLOOKUP(A198,[7]Sheet1!$A$1:$C$65536,3,0),VLOOKUP(E198,[7]Sheet1!$A$1:$C$65536,3,0)),VLOOKUP(B198,[7]Sheet1!$A$1:$C$65536,3,0))</f>
        <v>#N/A</v>
      </c>
      <c r="E198" s="205" t="s">
        <v>262</v>
      </c>
      <c r="F198" s="6">
        <f t="shared" si="24"/>
        <v>0</v>
      </c>
      <c r="G198" s="7">
        <f>+IFERROR(IFERROR(VLOOKUP(D198,[2]IMF_fdi_credit_debitinc!$A:$C,3,0),VLOOKUP(E198,[2]IMF_fdi_credit_debitinc!$A:$C,3,0)),0)/1000000</f>
        <v>0</v>
      </c>
      <c r="H198" s="7">
        <f>+IFERROR(VLOOKUP(D198,[2]OECD_COUNTERDO_INCOME!A:B,2,0),0)</f>
        <v>0</v>
      </c>
      <c r="I198" s="7" t="e">
        <f>+VLOOKUP(E198,'[2]CBC- IRS'!A:L,6,0)/1000000</f>
        <v>#N/A</v>
      </c>
      <c r="J198" s="7">
        <f t="shared" si="28"/>
        <v>0</v>
      </c>
      <c r="K198" s="8"/>
      <c r="L198" s="7"/>
      <c r="M198" s="7"/>
      <c r="N198" s="7"/>
      <c r="O198" s="7"/>
      <c r="P198" s="6">
        <f t="shared" si="27"/>
        <v>0</v>
      </c>
      <c r="Q198" s="7">
        <f>+IFERROR(IFERROR(VLOOKUP(D198,[2]IMF_fdi_credit_debitinc!$A:$C,2,0),VLOOKUP(O198,[2]IMF_fdi_credit_debitinc!$A:$C,2,0)),0)/1000000</f>
        <v>0</v>
      </c>
      <c r="R198" s="7">
        <f>+IFERROR(VLOOKUP(D198,[2]OECD_COUNTERDI_INCOME!A:B,2,0),0)</f>
        <v>0</v>
      </c>
      <c r="S198" s="7">
        <f t="shared" si="29"/>
        <v>0</v>
      </c>
      <c r="T198" s="206"/>
    </row>
    <row r="199" spans="2:20" ht="14.25" customHeight="1" x14ac:dyDescent="0.35">
      <c r="B199" s="1" t="s">
        <v>263</v>
      </c>
      <c r="D199" s="1" t="str">
        <f>+IFERROR(IFERROR(VLOOKUP(A199,[7]Sheet1!$A$1:$C$65536,3,0),VLOOKUP(E199,[7]Sheet1!$A$1:$C$65536,3,0)),VLOOKUP(B199,[7]Sheet1!$A$1:$C$65536,3,0))</f>
        <v>SYR</v>
      </c>
      <c r="E199" s="205" t="s">
        <v>264</v>
      </c>
      <c r="F199" s="6">
        <f t="shared" si="24"/>
        <v>0</v>
      </c>
      <c r="G199" s="7">
        <f>+IFERROR(IFERROR(VLOOKUP(D199,[2]IMF_fdi_credit_debitinc!$A:$C,3,0),VLOOKUP(E199,[2]IMF_fdi_credit_debitinc!$A:$C,3,0)),0)/1000000</f>
        <v>0</v>
      </c>
      <c r="H199" s="7">
        <f>+IFERROR(VLOOKUP(D199,[2]OECD_COUNTERDO_INCOME!A:B,2,0),0)</f>
        <v>1.069</v>
      </c>
      <c r="I199" s="7" t="e">
        <f>+VLOOKUP(E199,'[2]CBC- IRS'!A:L,6,0)/1000000</f>
        <v>#N/A</v>
      </c>
      <c r="J199" s="7">
        <f t="shared" si="28"/>
        <v>-1.069</v>
      </c>
      <c r="K199" s="8"/>
      <c r="L199" s="7"/>
      <c r="M199" s="7"/>
      <c r="N199" s="7"/>
      <c r="O199" s="7"/>
      <c r="P199" s="6">
        <f t="shared" si="27"/>
        <v>0</v>
      </c>
      <c r="Q199" s="7">
        <f>+IFERROR(IFERROR(VLOOKUP(D199,[2]IMF_fdi_credit_debitinc!$A:$C,2,0),VLOOKUP(O199,[2]IMF_fdi_credit_debitinc!$A:$C,2,0)),0)/1000000</f>
        <v>0</v>
      </c>
      <c r="R199" s="7">
        <f>+IFERROR(VLOOKUP(D199,[2]OECD_COUNTERDI_INCOME!A:B,2,0),0)</f>
        <v>0.02</v>
      </c>
      <c r="S199" s="7">
        <f t="shared" si="29"/>
        <v>-0.02</v>
      </c>
      <c r="T199" s="206"/>
    </row>
    <row r="200" spans="2:20" ht="14.25" customHeight="1" x14ac:dyDescent="0.35">
      <c r="D200" s="1" t="str">
        <f>+IFERROR(IFERROR(VLOOKUP(A200,[7]Sheet1!$A$1:$C$65536,3,0),VLOOKUP(E200,[7]Sheet1!$A$1:$C$65536,3,0)),VLOOKUP(B200,[7]Sheet1!$A$1:$C$65536,3,0))</f>
        <v>TJK</v>
      </c>
      <c r="E200" s="205" t="s">
        <v>265</v>
      </c>
      <c r="F200" s="6">
        <f t="shared" si="24"/>
        <v>211.17400000000001</v>
      </c>
      <c r="G200" s="7">
        <f>+IFERROR(IFERROR(VLOOKUP(D200,[2]IMF_fdi_credit_debitinc!$A:$C,3,0),VLOOKUP(E200,[2]IMF_fdi_credit_debitinc!$A:$C,3,0)),0)/1000000</f>
        <v>211.17400000000001</v>
      </c>
      <c r="H200" s="7">
        <f>+IFERROR(VLOOKUP(D200,[2]OECD_COUNTERDO_INCOME!A:B,2,0),0)</f>
        <v>116.047</v>
      </c>
      <c r="I200" s="7" t="e">
        <f>+VLOOKUP(E200,'[2]CBC- IRS'!A:L,6,0)/1000000</f>
        <v>#N/A</v>
      </c>
      <c r="J200" s="7">
        <f t="shared" si="28"/>
        <v>95.12700000000001</v>
      </c>
      <c r="K200" s="8"/>
      <c r="L200" s="7"/>
      <c r="M200" s="7"/>
      <c r="N200" s="7"/>
      <c r="O200" s="7"/>
      <c r="P200" s="6">
        <f t="shared" si="27"/>
        <v>0</v>
      </c>
      <c r="Q200" s="7">
        <f>+IFERROR(IFERROR(VLOOKUP(D200,[2]IMF_fdi_credit_debitinc!$A:$C,2,0),VLOOKUP(O200,[2]IMF_fdi_credit_debitinc!$A:$C,2,0)),0)/1000000</f>
        <v>0</v>
      </c>
      <c r="R200" s="7">
        <f>+IFERROR(VLOOKUP(D200,[2]OECD_COUNTERDI_INCOME!A:B,2,0),0)</f>
        <v>0</v>
      </c>
      <c r="S200" s="7">
        <f t="shared" si="29"/>
        <v>0</v>
      </c>
      <c r="T200" s="206"/>
    </row>
    <row r="201" spans="2:20" ht="14.25" customHeight="1" x14ac:dyDescent="0.35">
      <c r="D201" s="1" t="str">
        <f>+IFERROR(IFERROR(VLOOKUP(A201,[7]Sheet1!$A$1:$C$65536,3,0),VLOOKUP(E201,[7]Sheet1!$A$1:$C$65536,3,0)),VLOOKUP(B201,[7]Sheet1!$A$1:$C$65536,3,0))</f>
        <v>TZA</v>
      </c>
      <c r="E201" s="205" t="s">
        <v>266</v>
      </c>
      <c r="F201" s="6">
        <f t="shared" si="24"/>
        <v>0</v>
      </c>
      <c r="G201" s="7">
        <f>+IFERROR(IFERROR(VLOOKUP(D201,[2]IMF_fdi_credit_debitinc!$A:$C,3,0),VLOOKUP(E201,[2]IMF_fdi_credit_debitinc!$A:$C,3,0)),0)/1000000</f>
        <v>0</v>
      </c>
      <c r="H201" s="7">
        <f>+IFERROR(VLOOKUP(D201,[2]OECD_COUNTERDO_INCOME!A:B,2,0),0)</f>
        <v>90.265000000000001</v>
      </c>
      <c r="I201" s="7">
        <f>+VLOOKUP(E201,'[2]CBC- IRS'!A:L,6,0)/1000000</f>
        <v>3.1050390000000001E-2</v>
      </c>
      <c r="J201" s="7">
        <f t="shared" si="28"/>
        <v>-90.265000000000001</v>
      </c>
      <c r="K201" s="8"/>
      <c r="L201" s="7"/>
      <c r="M201" s="7"/>
      <c r="N201" s="7"/>
      <c r="O201" s="7"/>
      <c r="P201" s="6">
        <f t="shared" si="27"/>
        <v>0</v>
      </c>
      <c r="Q201" s="7">
        <f>+IFERROR(IFERROR(VLOOKUP(D201,[2]IMF_fdi_credit_debitinc!$A:$C,2,0),VLOOKUP(O201,[2]IMF_fdi_credit_debitinc!$A:$C,2,0)),0)/1000000</f>
        <v>0</v>
      </c>
      <c r="R201" s="7">
        <f>+IFERROR(VLOOKUP(D201,[2]OECD_COUNTERDI_INCOME!A:B,2,0),0)</f>
        <v>1.722</v>
      </c>
      <c r="S201" s="7">
        <f t="shared" si="29"/>
        <v>-1.722</v>
      </c>
      <c r="T201" s="206"/>
    </row>
    <row r="202" spans="2:20" ht="14.25" customHeight="1" x14ac:dyDescent="0.35">
      <c r="D202" s="1" t="str">
        <f>+IFERROR(IFERROR(VLOOKUP(A202,[7]Sheet1!$A$1:$C$65536,3,0),VLOOKUP(E202,[7]Sheet1!$A$1:$C$65536,3,0)),VLOOKUP(B202,[7]Sheet1!$A$1:$C$65536,3,0))</f>
        <v>THA</v>
      </c>
      <c r="E202" s="205" t="s">
        <v>267</v>
      </c>
      <c r="F202" s="6">
        <f t="shared" si="24"/>
        <v>16684.8</v>
      </c>
      <c r="G202" s="7">
        <f>+IFERROR(IFERROR(VLOOKUP(D202,[2]IMF_fdi_credit_debitinc!$A:$C,3,0),VLOOKUP(E202,[2]IMF_fdi_credit_debitinc!$A:$C,3,0)),0)/1000000</f>
        <v>16684.8</v>
      </c>
      <c r="H202" s="7">
        <f>+IFERROR(VLOOKUP(D202,[2]OECD_COUNTERDO_INCOME!A:B,2,0),0)</f>
        <v>12379.15</v>
      </c>
      <c r="I202" s="7">
        <f>+VLOOKUP(E202,'[2]CBC- IRS'!A:L,6,0)/1000000</f>
        <v>5.3149264160000005</v>
      </c>
      <c r="J202" s="7">
        <f t="shared" si="28"/>
        <v>4305.6499999999996</v>
      </c>
      <c r="K202" s="8"/>
      <c r="L202" s="7"/>
      <c r="M202" s="7"/>
      <c r="N202" s="7"/>
      <c r="O202" s="7"/>
      <c r="P202" s="6">
        <f t="shared" si="27"/>
        <v>2423.54</v>
      </c>
      <c r="Q202" s="7">
        <f>+IFERROR(IFERROR(VLOOKUP(D202,[2]IMF_fdi_credit_debitinc!$A:$C,2,0),VLOOKUP(O202,[2]IMF_fdi_credit_debitinc!$A:$C,2,0)),0)/1000000</f>
        <v>2423.54</v>
      </c>
      <c r="R202" s="7">
        <f>+IFERROR(VLOOKUP(D202,[2]OECD_COUNTERDI_INCOME!A:B,2,0),0)</f>
        <v>120.27</v>
      </c>
      <c r="S202" s="7">
        <f t="shared" si="29"/>
        <v>2303.27</v>
      </c>
      <c r="T202" s="206"/>
    </row>
    <row r="203" spans="2:20" ht="14.25" customHeight="1" x14ac:dyDescent="0.35">
      <c r="B203" s="13" t="s">
        <v>268</v>
      </c>
      <c r="D203" s="1" t="str">
        <f>+IFERROR(IFERROR(VLOOKUP(A203,[7]Sheet1!$A$1:$C$65536,3,0),VLOOKUP(E203,[7]Sheet1!$A$1:$C$65536,3,0)),VLOOKUP(B203,[7]Sheet1!$A$1:$C$65536,3,0))</f>
        <v>TLS</v>
      </c>
      <c r="E203" s="205" t="s">
        <v>269</v>
      </c>
      <c r="F203" s="6">
        <f t="shared" si="24"/>
        <v>59.598082900000001</v>
      </c>
      <c r="G203" s="7">
        <f>+IFERROR(IFERROR(VLOOKUP(D203,[2]IMF_fdi_credit_debitinc!$A:$C,3,0),VLOOKUP(E203,[2]IMF_fdi_credit_debitinc!$A:$C,3,0)),0)/1000000</f>
        <v>59.598082900000001</v>
      </c>
      <c r="H203" s="7">
        <f>+IFERROR(VLOOKUP(D203,[2]OECD_COUNTERDO_INCOME!A:B,2,0),0)</f>
        <v>0</v>
      </c>
      <c r="I203" s="7" t="e">
        <f>+VLOOKUP(E203,'[2]CBC- IRS'!A:L,6,0)/1000000</f>
        <v>#N/A</v>
      </c>
      <c r="J203" s="7">
        <f t="shared" si="28"/>
        <v>59.598082900000001</v>
      </c>
      <c r="K203" s="8"/>
      <c r="L203" s="7"/>
      <c r="M203" s="7"/>
      <c r="N203" s="7"/>
      <c r="O203" s="7"/>
      <c r="P203" s="6">
        <f t="shared" si="27"/>
        <v>0</v>
      </c>
      <c r="Q203" s="7">
        <f>+IFERROR(IFERROR(VLOOKUP(D203,[2]IMF_fdi_credit_debitinc!$A:$C,2,0),VLOOKUP(O203,[2]IMF_fdi_credit_debitinc!$A:$C,2,0)),0)/1000000</f>
        <v>0</v>
      </c>
      <c r="R203" s="7">
        <f>+IFERROR(VLOOKUP(D203,[2]OECD_COUNTERDI_INCOME!A:B,2,0),0)</f>
        <v>0</v>
      </c>
      <c r="S203" s="7">
        <f t="shared" si="29"/>
        <v>0</v>
      </c>
      <c r="T203" s="206"/>
    </row>
    <row r="204" spans="2:20" ht="14.25" customHeight="1" x14ac:dyDescent="0.35">
      <c r="D204" s="1" t="str">
        <f>+IFERROR(IFERROR(VLOOKUP(A204,[7]Sheet1!$A$1:$C$65536,3,0),VLOOKUP(E204,[7]Sheet1!$A$1:$C$65536,3,0)),VLOOKUP(B204,[7]Sheet1!$A$1:$C$65536,3,0))</f>
        <v>TGO</v>
      </c>
      <c r="E204" s="205" t="s">
        <v>270</v>
      </c>
      <c r="F204" s="6">
        <f t="shared" si="24"/>
        <v>0</v>
      </c>
      <c r="G204" s="7">
        <f>+IFERROR(IFERROR(VLOOKUP(D204,[2]IMF_fdi_credit_debitinc!$A:$C,3,0),VLOOKUP(E204,[2]IMF_fdi_credit_debitinc!$A:$C,3,0)),0)/1000000</f>
        <v>0</v>
      </c>
      <c r="H204" s="7">
        <f>+IFERROR(VLOOKUP(D204,[2]OECD_COUNTERDO_INCOME!A:B,2,0),0)</f>
        <v>14.779</v>
      </c>
      <c r="I204" s="7" t="e">
        <f>+VLOOKUP(E204,'[2]CBC- IRS'!A:L,6,0)/1000000</f>
        <v>#N/A</v>
      </c>
      <c r="J204" s="7">
        <f t="shared" si="28"/>
        <v>-14.779</v>
      </c>
      <c r="K204" s="8"/>
      <c r="L204" s="7"/>
      <c r="M204" s="7"/>
      <c r="N204" s="7"/>
      <c r="O204" s="7"/>
      <c r="P204" s="6">
        <f t="shared" si="27"/>
        <v>0</v>
      </c>
      <c r="Q204" s="7">
        <f>+IFERROR(IFERROR(VLOOKUP(D204,[2]IMF_fdi_credit_debitinc!$A:$C,2,0),VLOOKUP(O204,[2]IMF_fdi_credit_debitinc!$A:$C,2,0)),0)/1000000</f>
        <v>0</v>
      </c>
      <c r="R204" s="7">
        <f>+IFERROR(VLOOKUP(D204,[2]OECD_COUNTERDI_INCOME!A:B,2,0),0)</f>
        <v>1.708</v>
      </c>
      <c r="S204" s="7">
        <f t="shared" si="29"/>
        <v>-1.708</v>
      </c>
      <c r="T204" s="206"/>
    </row>
    <row r="205" spans="2:20" ht="14.25" customHeight="1" x14ac:dyDescent="0.35">
      <c r="D205" s="1" t="str">
        <f>+IFERROR(IFERROR(VLOOKUP(A205,[7]Sheet1!$A$1:$C$65536,3,0),VLOOKUP(E205,[7]Sheet1!$A$1:$C$65536,3,0)),VLOOKUP(B205,[7]Sheet1!$A$1:$C$65536,3,0))</f>
        <v>TON</v>
      </c>
      <c r="E205" s="205" t="s">
        <v>271</v>
      </c>
      <c r="F205" s="6">
        <f t="shared" si="24"/>
        <v>0</v>
      </c>
      <c r="G205" s="7">
        <f>+IFERROR(IFERROR(VLOOKUP(D205,[2]IMF_fdi_credit_debitinc!$A:$C,3,0),VLOOKUP(E205,[2]IMF_fdi_credit_debitinc!$A:$C,3,0)),0)/1000000</f>
        <v>0</v>
      </c>
      <c r="H205" s="7">
        <f>+IFERROR(VLOOKUP(D205,[2]OECD_COUNTERDO_INCOME!A:B,2,0),0)</f>
        <v>0</v>
      </c>
      <c r="I205" s="7" t="e">
        <f>+VLOOKUP(E205,'[2]CBC- IRS'!A:L,6,0)/1000000</f>
        <v>#N/A</v>
      </c>
      <c r="J205" s="7">
        <f t="shared" si="28"/>
        <v>0</v>
      </c>
      <c r="K205" s="8"/>
      <c r="L205" s="7"/>
      <c r="M205" s="7"/>
      <c r="N205" s="7"/>
      <c r="O205" s="7"/>
      <c r="P205" s="6">
        <f t="shared" si="27"/>
        <v>0</v>
      </c>
      <c r="Q205" s="7">
        <f>+IFERROR(IFERROR(VLOOKUP(D205,[2]IMF_fdi_credit_debitinc!$A:$C,2,0),VLOOKUP(O205,[2]IMF_fdi_credit_debitinc!$A:$C,2,0)),0)/1000000</f>
        <v>0</v>
      </c>
      <c r="R205" s="7">
        <f>+IFERROR(VLOOKUP(D205,[2]OECD_COUNTERDI_INCOME!A:B,2,0),0)</f>
        <v>0</v>
      </c>
      <c r="S205" s="7">
        <f t="shared" si="29"/>
        <v>0</v>
      </c>
      <c r="T205" s="206"/>
    </row>
    <row r="206" spans="2:20" ht="14.25" customHeight="1" x14ac:dyDescent="0.35">
      <c r="D206" s="1" t="str">
        <f>+IFERROR(IFERROR(VLOOKUP(A206,[7]Sheet1!$A$1:$C$65536,3,0),VLOOKUP(E206,[7]Sheet1!$A$1:$C$65536,3,0)),VLOOKUP(B206,[7]Sheet1!$A$1:$C$65536,3,0))</f>
        <v>TTO</v>
      </c>
      <c r="E206" s="205" t="s">
        <v>272</v>
      </c>
      <c r="F206" s="6">
        <f t="shared" si="24"/>
        <v>0</v>
      </c>
      <c r="G206" s="7">
        <f>+IFERROR(IFERROR(VLOOKUP(D206,[2]IMF_fdi_credit_debitinc!$A:$C,3,0),VLOOKUP(E206,[2]IMF_fdi_credit_debitinc!$A:$C,3,0)),0)/1000000</f>
        <v>0</v>
      </c>
      <c r="H206" s="7">
        <f>+IFERROR(VLOOKUP(D206,[2]OECD_COUNTERDO_INCOME!A:B,2,0),0)</f>
        <v>112.627</v>
      </c>
      <c r="I206" s="7">
        <f>+VLOOKUP(E206,'[2]CBC- IRS'!A:L,6,0)/1000000</f>
        <v>0.12363969100000001</v>
      </c>
      <c r="J206" s="7">
        <f t="shared" si="28"/>
        <v>-112.627</v>
      </c>
      <c r="K206" s="8"/>
      <c r="L206" s="7"/>
      <c r="M206" s="7"/>
      <c r="N206" s="7"/>
      <c r="O206" s="7"/>
      <c r="P206" s="6">
        <f t="shared" si="27"/>
        <v>0</v>
      </c>
      <c r="Q206" s="7">
        <f>+IFERROR(IFERROR(VLOOKUP(D206,[2]IMF_fdi_credit_debitinc!$A:$C,2,0),VLOOKUP(O206,[2]IMF_fdi_credit_debitinc!$A:$C,2,0)),0)/1000000</f>
        <v>0</v>
      </c>
      <c r="R206" s="7">
        <f>+IFERROR(VLOOKUP(D206,[2]OECD_COUNTERDI_INCOME!A:B,2,0),0)</f>
        <v>-7.17</v>
      </c>
      <c r="S206" s="7">
        <f t="shared" si="29"/>
        <v>7.17</v>
      </c>
      <c r="T206" s="206"/>
    </row>
    <row r="207" spans="2:20" ht="14.25" customHeight="1" x14ac:dyDescent="0.35">
      <c r="D207" s="1" t="str">
        <f>+IFERROR(IFERROR(VLOOKUP(A207,[7]Sheet1!$A$1:$C$65536,3,0),VLOOKUP(E207,[7]Sheet1!$A$1:$C$65536,3,0)),VLOOKUP(B207,[7]Sheet1!$A$1:$C$65536,3,0))</f>
        <v>TUN</v>
      </c>
      <c r="E207" s="205" t="s">
        <v>273</v>
      </c>
      <c r="F207" s="6">
        <f t="shared" si="24"/>
        <v>0</v>
      </c>
      <c r="G207" s="7">
        <f>+IFERROR(IFERROR(VLOOKUP(D207,[2]IMF_fdi_credit_debitinc!$A:$C,3,0),VLOOKUP(E207,[2]IMF_fdi_credit_debitinc!$A:$C,3,0)),0)/1000000</f>
        <v>0</v>
      </c>
      <c r="H207" s="7">
        <f>+IFERROR(VLOOKUP(D207,[2]OECD_COUNTERDO_INCOME!A:B,2,0),0)</f>
        <v>208.60499999999999</v>
      </c>
      <c r="I207" s="7">
        <f>+VLOOKUP(E207,'[2]CBC- IRS'!A:L,6,0)/1000000</f>
        <v>0.10890383000000001</v>
      </c>
      <c r="J207" s="7">
        <f t="shared" si="28"/>
        <v>-208.60499999999999</v>
      </c>
      <c r="K207" s="8"/>
      <c r="L207" s="7"/>
      <c r="M207" s="7"/>
      <c r="N207" s="7"/>
      <c r="O207" s="7"/>
      <c r="P207" s="6">
        <f t="shared" si="27"/>
        <v>0</v>
      </c>
      <c r="Q207" s="7">
        <f>+IFERROR(IFERROR(VLOOKUP(D207,[2]IMF_fdi_credit_debitinc!$A:$C,2,0),VLOOKUP(O207,[2]IMF_fdi_credit_debitinc!$A:$C,2,0)),0)/1000000</f>
        <v>0</v>
      </c>
      <c r="R207" s="7">
        <f>+IFERROR(VLOOKUP(D207,[2]OECD_COUNTERDI_INCOME!A:B,2,0),0)</f>
        <v>-9.4809999999999999</v>
      </c>
      <c r="S207" s="7">
        <f t="shared" si="29"/>
        <v>9.4809999999999999</v>
      </c>
      <c r="T207" s="206"/>
    </row>
    <row r="208" spans="2:20" ht="14.25" customHeight="1" x14ac:dyDescent="0.35">
      <c r="D208" s="1" t="e">
        <f>+IFERROR(IFERROR(VLOOKUP(A208,[7]Sheet1!$A$1:$C$65536,3,0),VLOOKUP(E208,[7]Sheet1!$A$1:$C$65536,3,0)),VLOOKUP(B208,[7]Sheet1!$A$1:$C$65536,3,0))</f>
        <v>#N/A</v>
      </c>
      <c r="E208" s="205" t="s">
        <v>274</v>
      </c>
      <c r="F208" s="6">
        <f t="shared" si="24"/>
        <v>0</v>
      </c>
      <c r="G208" s="7">
        <f>+IFERROR(IFERROR(VLOOKUP(D208,[2]IMF_fdi_credit_debitinc!$A:$C,3,0),VLOOKUP(E208,[2]IMF_fdi_credit_debitinc!$A:$C,3,0)),0)/1000000</f>
        <v>0</v>
      </c>
      <c r="H208" s="7">
        <f>+IFERROR(VLOOKUP(D208,[2]OECD_COUNTERDO_INCOME!A:B,2,0),0)</f>
        <v>0</v>
      </c>
      <c r="I208" s="7" t="e">
        <f>+VLOOKUP(E208,'[2]CBC- IRS'!A:L,6,0)/1000000</f>
        <v>#N/A</v>
      </c>
      <c r="J208" s="7">
        <f t="shared" si="28"/>
        <v>0</v>
      </c>
      <c r="K208" s="8"/>
      <c r="L208" s="7"/>
      <c r="M208" s="7"/>
      <c r="N208" s="7"/>
      <c r="O208" s="7"/>
      <c r="P208" s="6">
        <f t="shared" si="27"/>
        <v>0</v>
      </c>
      <c r="Q208" s="7">
        <f>+IFERROR(IFERROR(VLOOKUP(D208,[2]IMF_fdi_credit_debitinc!$A:$C,2,0),VLOOKUP(O208,[2]IMF_fdi_credit_debitinc!$A:$C,2,0)),0)/1000000</f>
        <v>0</v>
      </c>
      <c r="R208" s="7">
        <f>+IFERROR(VLOOKUP(D208,[2]OECD_COUNTERDI_INCOME!A:B,2,0),0)</f>
        <v>0</v>
      </c>
      <c r="S208" s="7">
        <f t="shared" si="29"/>
        <v>0</v>
      </c>
      <c r="T208" s="206"/>
    </row>
    <row r="209" spans="2:20" ht="14.25" customHeight="1" x14ac:dyDescent="0.35">
      <c r="D209" s="1" t="str">
        <f>+IFERROR(IFERROR(VLOOKUP(A209,[7]Sheet1!$A$1:$C$65536,3,0),VLOOKUP(E209,[7]Sheet1!$A$1:$C$65536,3,0)),VLOOKUP(B209,[7]Sheet1!$A$1:$C$65536,3,0))</f>
        <v>UGA</v>
      </c>
      <c r="E209" s="205" t="s">
        <v>275</v>
      </c>
      <c r="F209" s="6">
        <f t="shared" si="24"/>
        <v>354.161</v>
      </c>
      <c r="G209" s="7">
        <f>+IFERROR(IFERROR(VLOOKUP(D209,[2]IMF_fdi_credit_debitinc!$A:$C,3,0),VLOOKUP(E209,[2]IMF_fdi_credit_debitinc!$A:$C,3,0)),0)/1000000</f>
        <v>354.161</v>
      </c>
      <c r="H209" s="7">
        <f>+IFERROR(VLOOKUP(D209,[2]OECD_COUNTERDO_INCOME!A:B,2,0),0)</f>
        <v>8.7189999999999994</v>
      </c>
      <c r="I209" s="7">
        <f>+VLOOKUP(E209,'[2]CBC- IRS'!A:L,6,0)/1000000</f>
        <v>4.6344214999999994E-2</v>
      </c>
      <c r="J209" s="7">
        <f t="shared" si="28"/>
        <v>345.44200000000001</v>
      </c>
      <c r="K209" s="8"/>
      <c r="L209" s="7"/>
      <c r="M209" s="7"/>
      <c r="N209" s="7"/>
      <c r="O209" s="7"/>
      <c r="P209" s="6">
        <f t="shared" si="27"/>
        <v>0.34315212007000001</v>
      </c>
      <c r="Q209" s="7">
        <f>+IFERROR(IFERROR(VLOOKUP(D209,[2]IMF_fdi_credit_debitinc!$A:$C,2,0),VLOOKUP(O209,[2]IMF_fdi_credit_debitinc!$A:$C,2,0)),0)/1000000</f>
        <v>0.34315212007000001</v>
      </c>
      <c r="R209" s="7">
        <f>+IFERROR(VLOOKUP(D209,[2]OECD_COUNTERDI_INCOME!A:B,2,0),0)</f>
        <v>7.8460000000000001</v>
      </c>
      <c r="S209" s="7">
        <f t="shared" si="29"/>
        <v>-7.50284787993</v>
      </c>
      <c r="T209" s="206"/>
    </row>
    <row r="210" spans="2:20" ht="14.25" customHeight="1" x14ac:dyDescent="0.35">
      <c r="D210" s="1" t="str">
        <f>+IFERROR(IFERROR(VLOOKUP(A210,[7]Sheet1!$A$1:$C$65536,3,0),VLOOKUP(E210,[7]Sheet1!$A$1:$C$65536,3,0)),VLOOKUP(B210,[7]Sheet1!$A$1:$C$65536,3,0))</f>
        <v>UKR</v>
      </c>
      <c r="E210" s="205" t="s">
        <v>276</v>
      </c>
      <c r="F210" s="6">
        <f t="shared" si="24"/>
        <v>3877</v>
      </c>
      <c r="G210" s="7">
        <f>+IFERROR(IFERROR(VLOOKUP(D210,[2]IMF_fdi_credit_debitinc!$A:$C,3,0),VLOOKUP(E210,[2]IMF_fdi_credit_debitinc!$A:$C,3,0)),0)/1000000</f>
        <v>3877</v>
      </c>
      <c r="H210" s="7">
        <f>+IFERROR(VLOOKUP(D210,[2]OECD_COUNTERDO_INCOME!A:B,2,0),0)</f>
        <v>2554.6289999999999</v>
      </c>
      <c r="I210" s="7">
        <f>+VLOOKUP(E210,'[2]CBC- IRS'!A:L,6,0)/1000000</f>
        <v>0.67827849699999998</v>
      </c>
      <c r="J210" s="7">
        <f t="shared" si="28"/>
        <v>1322.3710000000001</v>
      </c>
      <c r="K210" s="8"/>
      <c r="L210" s="7"/>
      <c r="M210" s="7"/>
      <c r="N210" s="7"/>
      <c r="O210" s="7"/>
      <c r="P210" s="6">
        <f t="shared" si="27"/>
        <v>94</v>
      </c>
      <c r="Q210" s="7">
        <f>+IFERROR(IFERROR(VLOOKUP(D210,[2]IMF_fdi_credit_debitinc!$A:$C,2,0),VLOOKUP(O210,[2]IMF_fdi_credit_debitinc!$A:$C,2,0)),0)/1000000</f>
        <v>94</v>
      </c>
      <c r="R210" s="7">
        <f>+IFERROR(VLOOKUP(D210,[2]OECD_COUNTERDI_INCOME!A:B,2,0),0)</f>
        <v>-99.207999999999998</v>
      </c>
      <c r="S210" s="7">
        <f t="shared" si="29"/>
        <v>193.208</v>
      </c>
      <c r="T210" s="206"/>
    </row>
    <row r="211" spans="2:20" ht="14.25" customHeight="1" x14ac:dyDescent="0.35">
      <c r="D211" s="1" t="str">
        <f>+IFERROR(IFERROR(VLOOKUP(A211,[7]Sheet1!$A$1:$C$65536,3,0),VLOOKUP(E211,[7]Sheet1!$A$1:$C$65536,3,0)),VLOOKUP(B211,[7]Sheet1!$A$1:$C$65536,3,0))</f>
        <v>URY</v>
      </c>
      <c r="E211" s="205" t="s">
        <v>277</v>
      </c>
      <c r="F211" s="6">
        <f t="shared" si="24"/>
        <v>3662.72</v>
      </c>
      <c r="G211" s="7">
        <f>+IFERROR(IFERROR(VLOOKUP(D211,[2]IMF_fdi_credit_debitinc!$A:$C,3,0),VLOOKUP(E211,[2]IMF_fdi_credit_debitinc!$A:$C,3,0)),0)/1000000</f>
        <v>3662.72</v>
      </c>
      <c r="H211" s="7">
        <f>+IFERROR(VLOOKUP(D211,[2]OECD_COUNTERDO_INCOME!A:B,2,0),0)</f>
        <v>1516.8689999999999</v>
      </c>
      <c r="I211" s="7">
        <f>+VLOOKUP(E211,'[2]CBC- IRS'!A:L,6,0)/1000000</f>
        <v>0.42664581000000001</v>
      </c>
      <c r="J211" s="7">
        <f t="shared" si="28"/>
        <v>2145.8509999999997</v>
      </c>
      <c r="K211" s="8"/>
      <c r="L211" s="7"/>
      <c r="M211" s="7"/>
      <c r="N211" s="7"/>
      <c r="O211" s="7"/>
      <c r="P211" s="6">
        <f t="shared" si="27"/>
        <v>1008.58</v>
      </c>
      <c r="Q211" s="7">
        <f>+IFERROR(IFERROR(VLOOKUP(D211,[2]IMF_fdi_credit_debitinc!$A:$C,2,0),VLOOKUP(O211,[2]IMF_fdi_credit_debitinc!$A:$C,2,0)),0)/1000000</f>
        <v>1008.58</v>
      </c>
      <c r="R211" s="7">
        <f>+IFERROR(VLOOKUP(D211,[2]OECD_COUNTERDI_INCOME!A:B,2,0),0)</f>
        <v>905.67899999999997</v>
      </c>
      <c r="S211" s="7">
        <f t="shared" si="29"/>
        <v>102.90100000000007</v>
      </c>
      <c r="T211" s="206"/>
    </row>
    <row r="212" spans="2:20" ht="14.25" customHeight="1" x14ac:dyDescent="0.35">
      <c r="D212" s="1" t="str">
        <f>+IFERROR(IFERROR(VLOOKUP(A212,[7]Sheet1!$A$1:$C$65536,3,0),VLOOKUP(E212,[7]Sheet1!$A$1:$C$65536,3,0)),VLOOKUP(B212,[7]Sheet1!$A$1:$C$65536,3,0))</f>
        <v>VUT</v>
      </c>
      <c r="E212" s="205" t="s">
        <v>278</v>
      </c>
      <c r="F212" s="6">
        <f t="shared" si="24"/>
        <v>0</v>
      </c>
      <c r="G212" s="7">
        <f>+IFERROR(IFERROR(VLOOKUP(D212,[2]IMF_fdi_credit_debitinc!$A:$C,3,0),VLOOKUP(E212,[2]IMF_fdi_credit_debitinc!$A:$C,3,0)),0)/1000000</f>
        <v>0</v>
      </c>
      <c r="H212" s="7">
        <f>+IFERROR(VLOOKUP(D212,[2]OECD_COUNTERDO_INCOME!A:B,2,0),0)</f>
        <v>0.79300000000000004</v>
      </c>
      <c r="I212" s="7" t="e">
        <f>+VLOOKUP(E212,'[2]CBC- IRS'!A:L,6,0)/1000000</f>
        <v>#N/A</v>
      </c>
      <c r="J212" s="7">
        <f t="shared" si="28"/>
        <v>-0.79300000000000004</v>
      </c>
      <c r="K212" s="8"/>
      <c r="L212" s="7"/>
      <c r="M212" s="7"/>
      <c r="N212" s="7"/>
      <c r="O212" s="7"/>
      <c r="P212" s="6">
        <f t="shared" si="27"/>
        <v>0</v>
      </c>
      <c r="Q212" s="7">
        <f>+IFERROR(IFERROR(VLOOKUP(D212,[2]IMF_fdi_credit_debitinc!$A:$C,2,0),VLOOKUP(O212,[2]IMF_fdi_credit_debitinc!$A:$C,2,0)),0)/1000000</f>
        <v>0</v>
      </c>
      <c r="R212" s="7">
        <f>+IFERROR(VLOOKUP(D212,[2]OECD_COUNTERDI_INCOME!A:B,2,0),0)</f>
        <v>0</v>
      </c>
      <c r="S212" s="7">
        <f t="shared" si="29"/>
        <v>0</v>
      </c>
      <c r="T212" s="206"/>
    </row>
    <row r="213" spans="2:20" ht="14.25" customHeight="1" x14ac:dyDescent="0.35">
      <c r="B213" s="13" t="s">
        <v>279</v>
      </c>
      <c r="D213" s="1" t="str">
        <f>+IFERROR(IFERROR(VLOOKUP(A213,[7]Sheet1!$A$1:$C$65536,3,0),VLOOKUP(E213,[7]Sheet1!$A$1:$C$65536,3,0)),VLOOKUP(B213,[7]Sheet1!$A$1:$C$65536,3,0))</f>
        <v>VEN</v>
      </c>
      <c r="E213" s="205" t="s">
        <v>280</v>
      </c>
      <c r="F213" s="6">
        <f t="shared" si="24"/>
        <v>0</v>
      </c>
      <c r="G213" s="7">
        <f>+IFERROR(IFERROR(VLOOKUP(D213,[2]IMF_fdi_credit_debitinc!$A:$C,3,0),VLOOKUP(E213,[2]IMF_fdi_credit_debitinc!$A:$C,3,0)),0)/1000000</f>
        <v>0</v>
      </c>
      <c r="H213" s="7">
        <f>+IFERROR(VLOOKUP(D213,[2]OECD_COUNTERDO_INCOME!A:B,2,0),0)</f>
        <v>793.37099999999998</v>
      </c>
      <c r="I213" s="7">
        <f>+VLOOKUP(E213,'[2]CBC- IRS'!A:L,6,0)/1000000</f>
        <v>-3.2625361999999998E-2</v>
      </c>
      <c r="J213" s="7">
        <f t="shared" si="28"/>
        <v>-793.37099999999998</v>
      </c>
      <c r="K213" s="8"/>
      <c r="L213" s="7"/>
      <c r="M213" s="7"/>
      <c r="N213" s="7"/>
      <c r="O213" s="7"/>
      <c r="P213" s="6">
        <f t="shared" si="27"/>
        <v>0</v>
      </c>
      <c r="Q213" s="7">
        <f>+IFERROR(IFERROR(VLOOKUP(D213,[2]IMF_fdi_credit_debitinc!$A:$C,2,0),VLOOKUP(O213,[2]IMF_fdi_credit_debitinc!$A:$C,2,0)),0)/1000000</f>
        <v>0</v>
      </c>
      <c r="R213" s="7">
        <f>+IFERROR(VLOOKUP(D213,[2]OECD_COUNTERDI_INCOME!A:B,2,0),0)</f>
        <v>-0.52</v>
      </c>
      <c r="S213" s="7">
        <f t="shared" si="29"/>
        <v>0.52</v>
      </c>
      <c r="T213" s="206"/>
    </row>
    <row r="214" spans="2:20" ht="14.25" customHeight="1" x14ac:dyDescent="0.35">
      <c r="D214" s="1" t="str">
        <f>+IFERROR(IFERROR(VLOOKUP(A214,[7]Sheet1!$A$1:$C$65536,3,0),VLOOKUP(E214,[7]Sheet1!$A$1:$C$65536,3,0)),VLOOKUP(B214,[7]Sheet1!$A$1:$C$65536,3,0))</f>
        <v>VNM</v>
      </c>
      <c r="E214" s="205" t="s">
        <v>281</v>
      </c>
      <c r="F214" s="6">
        <f t="shared" si="24"/>
        <v>0</v>
      </c>
      <c r="G214" s="7">
        <f>+IFERROR(IFERROR(VLOOKUP(D214,[2]IMF_fdi_credit_debitinc!$A:$C,3,0),VLOOKUP(E214,[2]IMF_fdi_credit_debitinc!$A:$C,3,0)),0)/1000000</f>
        <v>0</v>
      </c>
      <c r="H214" s="7">
        <f>+IFERROR(VLOOKUP(D214,[2]OECD_COUNTERDO_INCOME!A:B,2,0),0)</f>
        <v>3211.8130000000001</v>
      </c>
      <c r="I214" s="7">
        <f>+VLOOKUP(E214,'[2]CBC- IRS'!A:L,6,0)/1000000</f>
        <v>0.92752779099999993</v>
      </c>
      <c r="J214" s="7">
        <f t="shared" si="28"/>
        <v>-3211.8130000000001</v>
      </c>
      <c r="K214" s="8"/>
      <c r="L214" s="7"/>
      <c r="M214" s="7"/>
      <c r="N214" s="7"/>
      <c r="O214" s="7"/>
      <c r="P214" s="6">
        <f t="shared" si="27"/>
        <v>0</v>
      </c>
      <c r="Q214" s="7">
        <f>+IFERROR(IFERROR(VLOOKUP(D214,[2]IMF_fdi_credit_debitinc!$A:$C,2,0),VLOOKUP(O214,[2]IMF_fdi_credit_debitinc!$A:$C,2,0)),0)/1000000</f>
        <v>0</v>
      </c>
      <c r="R214" s="7">
        <f>+IFERROR(VLOOKUP(D214,[2]OECD_COUNTERDI_INCOME!A:B,2,0),0)</f>
        <v>-45.075000000000003</v>
      </c>
      <c r="S214" s="7">
        <f t="shared" si="29"/>
        <v>45.075000000000003</v>
      </c>
      <c r="T214" s="206"/>
    </row>
    <row r="215" spans="2:20" ht="14.25" customHeight="1" x14ac:dyDescent="0.35">
      <c r="D215" s="1" t="e">
        <f>+IFERROR(IFERROR(VLOOKUP(A215,[7]Sheet1!$A$1:$C$65536,3,0),VLOOKUP(E215,[7]Sheet1!$A$1:$C$65536,3,0)),VLOOKUP(B215,[7]Sheet1!$A$1:$C$65536,3,0))</f>
        <v>#N/A</v>
      </c>
      <c r="E215" s="205" t="s">
        <v>282</v>
      </c>
      <c r="F215" s="6">
        <f t="shared" si="24"/>
        <v>0</v>
      </c>
      <c r="G215" s="7">
        <f>+IFERROR(IFERROR(VLOOKUP(D215,[2]IMF_fdi_credit_debitinc!$A:$C,3,0),VLOOKUP(E215,[2]IMF_fdi_credit_debitinc!$A:$C,3,0)),0)/1000000</f>
        <v>0</v>
      </c>
      <c r="H215" s="7">
        <f>+IFERROR(VLOOKUP(D215,[2]OECD_COUNTERDO_INCOME!A:B,2,0),0)</f>
        <v>0</v>
      </c>
      <c r="I215" s="7" t="e">
        <f>+VLOOKUP(E215,'[2]CBC- IRS'!A:L,6,0)/1000000</f>
        <v>#N/A</v>
      </c>
      <c r="J215" s="7">
        <f t="shared" si="28"/>
        <v>0</v>
      </c>
      <c r="K215" s="8"/>
      <c r="L215" s="7"/>
      <c r="M215" s="7"/>
      <c r="N215" s="7"/>
      <c r="O215" s="7"/>
      <c r="P215" s="6">
        <f t="shared" si="27"/>
        <v>0</v>
      </c>
      <c r="Q215" s="7">
        <f>+IFERROR(IFERROR(VLOOKUP(D215,[2]IMF_fdi_credit_debitinc!$A:$C,2,0),VLOOKUP(O215,[2]IMF_fdi_credit_debitinc!$A:$C,2,0)),0)/1000000</f>
        <v>0</v>
      </c>
      <c r="R215" s="7">
        <f>+IFERROR(VLOOKUP(D215,[2]OECD_COUNTERDI_INCOME!A:B,2,0),0)</f>
        <v>0</v>
      </c>
      <c r="S215" s="7">
        <f t="shared" si="29"/>
        <v>0</v>
      </c>
      <c r="T215" s="206"/>
    </row>
    <row r="216" spans="2:20" ht="14.25" customHeight="1" x14ac:dyDescent="0.35">
      <c r="B216" s="13" t="s">
        <v>283</v>
      </c>
      <c r="D216" s="1" t="str">
        <f>+IFERROR(IFERROR(VLOOKUP(A216,[7]Sheet1!$A$1:$C$65536,3,0),VLOOKUP(E216,[7]Sheet1!$A$1:$C$65536,3,0)),VLOOKUP(B216,[7]Sheet1!$A$1:$C$65536,3,0))</f>
        <v>YEM</v>
      </c>
      <c r="E216" s="205" t="s">
        <v>284</v>
      </c>
      <c r="F216" s="6">
        <f t="shared" si="24"/>
        <v>0</v>
      </c>
      <c r="G216" s="7">
        <f>+IFERROR(IFERROR(VLOOKUP(D216,[2]IMF_fdi_credit_debitinc!$A:$C,3,0),VLOOKUP(E216,[2]IMF_fdi_credit_debitinc!$A:$C,3,0)),0)/1000000</f>
        <v>0</v>
      </c>
      <c r="H216" s="7">
        <f>+IFERROR(VLOOKUP(D216,[2]OECD_COUNTERDO_INCOME!A:B,2,0),0)</f>
        <v>1.397</v>
      </c>
      <c r="I216" s="7" t="e">
        <f>+VLOOKUP(E216,'[2]CBC- IRS'!A:L,6,0)/1000000</f>
        <v>#N/A</v>
      </c>
      <c r="J216" s="7">
        <f t="shared" si="28"/>
        <v>-1.397</v>
      </c>
      <c r="K216" s="8"/>
      <c r="L216" s="7"/>
      <c r="M216" s="7"/>
      <c r="N216" s="7"/>
      <c r="O216" s="7"/>
      <c r="P216" s="6">
        <f t="shared" si="27"/>
        <v>0</v>
      </c>
      <c r="Q216" s="7">
        <f>+IFERROR(IFERROR(VLOOKUP(D216,[2]IMF_fdi_credit_debitinc!$A:$C,2,0),VLOOKUP(O216,[2]IMF_fdi_credit_debitinc!$A:$C,2,0)),0)/1000000</f>
        <v>0</v>
      </c>
      <c r="R216" s="7">
        <f>+IFERROR(VLOOKUP(D216,[2]OECD_COUNTERDI_INCOME!A:B,2,0),0)</f>
        <v>0.216</v>
      </c>
      <c r="S216" s="7">
        <f t="shared" si="29"/>
        <v>-0.216</v>
      </c>
      <c r="T216" s="206"/>
    </row>
    <row r="217" spans="2:20" ht="14.25" customHeight="1" x14ac:dyDescent="0.35">
      <c r="D217" s="1" t="str">
        <f>+IFERROR(IFERROR(VLOOKUP(A217,[7]Sheet1!$A$1:$C$65536,3,0),VLOOKUP(E217,[7]Sheet1!$A$1:$C$65536,3,0)),VLOOKUP(B217,[7]Sheet1!$A$1:$C$65536,3,0))</f>
        <v>ZMB</v>
      </c>
      <c r="E217" s="205" t="s">
        <v>285</v>
      </c>
      <c r="F217" s="6">
        <f t="shared" si="24"/>
        <v>-372.72</v>
      </c>
      <c r="G217" s="7">
        <f>+IFERROR(IFERROR(VLOOKUP(D217,[2]IMF_fdi_credit_debitinc!$A:$C,3,0),VLOOKUP(E217,[2]IMF_fdi_credit_debitinc!$A:$C,3,0)),0)/1000000</f>
        <v>-372.72</v>
      </c>
      <c r="H217" s="7">
        <f>+IFERROR(VLOOKUP(D217,[2]OECD_COUNTERDO_INCOME!A:B,2,0),0)</f>
        <v>2.5089999999999999</v>
      </c>
      <c r="I217" s="7">
        <f>+VLOOKUP(E217,'[2]CBC- IRS'!A:L,6,0)/1000000</f>
        <v>-6.7450142000000005E-2</v>
      </c>
      <c r="J217" s="7">
        <f t="shared" si="28"/>
        <v>-375.22900000000004</v>
      </c>
      <c r="K217" s="8"/>
      <c r="L217" s="7"/>
      <c r="M217" s="7"/>
      <c r="N217" s="7"/>
      <c r="O217" s="7"/>
      <c r="P217" s="6">
        <f t="shared" si="27"/>
        <v>7.0162504583300001</v>
      </c>
      <c r="Q217" s="7">
        <f>+IFERROR(IFERROR(VLOOKUP(D217,[2]IMF_fdi_credit_debitinc!$A:$C,2,0),VLOOKUP(O217,[2]IMF_fdi_credit_debitinc!$A:$C,2,0)),0)/1000000</f>
        <v>7.0162504583300001</v>
      </c>
      <c r="R217" s="7">
        <f>+IFERROR(VLOOKUP(D217,[2]OECD_COUNTERDI_INCOME!A:B,2,0),0)</f>
        <v>-1.056</v>
      </c>
      <c r="S217" s="7">
        <f t="shared" si="29"/>
        <v>8.0722504583300001</v>
      </c>
      <c r="T217" s="206"/>
    </row>
    <row r="218" spans="2:20" ht="14.25" customHeight="1" x14ac:dyDescent="0.35">
      <c r="D218" s="1" t="str">
        <f>+IFERROR(IFERROR(VLOOKUP(A218,[7]Sheet1!$A$1:$C$65536,3,0),VLOOKUP(E218,[7]Sheet1!$A$1:$C$65536,3,0)),VLOOKUP(B218,[7]Sheet1!$A$1:$C$65536,3,0))</f>
        <v>ZWE</v>
      </c>
      <c r="E218" s="205" t="s">
        <v>286</v>
      </c>
      <c r="F218" s="6">
        <f t="shared" si="24"/>
        <v>0</v>
      </c>
      <c r="G218" s="7">
        <f>+IFERROR(IFERROR(VLOOKUP(D218,[2]IMF_fdi_credit_debitinc!$A:$C,3,0),VLOOKUP(E218,[2]IMF_fdi_credit_debitinc!$A:$C,3,0)),0)/1000000</f>
        <v>0</v>
      </c>
      <c r="H218" s="7">
        <f>+IFERROR(VLOOKUP(D218,[2]OECD_COUNTERDO_INCOME!A:B,2,0),0)</f>
        <v>-44.954000000000001</v>
      </c>
      <c r="I218" s="7">
        <f>+VLOOKUP(E218,'[2]CBC- IRS'!A:L,6,0)/1000000</f>
        <v>3.0013605999999998E-2</v>
      </c>
      <c r="J218" s="7">
        <f t="shared" si="28"/>
        <v>44.954000000000001</v>
      </c>
      <c r="K218" s="8"/>
      <c r="L218" s="7"/>
      <c r="M218" s="7"/>
      <c r="N218" s="7"/>
      <c r="O218" s="7"/>
      <c r="P218" s="6">
        <f>+Q218</f>
        <v>0</v>
      </c>
      <c r="Q218" s="7">
        <f>+IFERROR(IFERROR(VLOOKUP(D218,[2]IMF_fdi_credit_debitinc!$A:$C,2,0),VLOOKUP(O218,[2]IMF_fdi_credit_debitinc!$A:$C,2,0)),0)/1000000</f>
        <v>0</v>
      </c>
      <c r="R218" s="7">
        <f>+IFERROR(VLOOKUP(D218,[2]OECD_COUNTERDI_INCOME!A:B,2,0),0)</f>
        <v>-1.266</v>
      </c>
      <c r="S218" s="7">
        <f t="shared" si="29"/>
        <v>1.266</v>
      </c>
      <c r="T218" s="206"/>
    </row>
    <row r="219" spans="2:20" ht="14.25" customHeight="1" x14ac:dyDescent="0.35">
      <c r="D219" s="1" t="e">
        <f>+IFERROR(IFERROR(VLOOKUP(A219,[7]Sheet1!$A$1:$C$65536,3,0),VLOOKUP(E219,[7]Sheet1!$A$1:$C$65536,3,0)),VLOOKUP(B219,[7]Sheet1!$A$1:$C$65536,3,0))</f>
        <v>#N/A</v>
      </c>
      <c r="E219" s="215" t="s">
        <v>287</v>
      </c>
      <c r="F219" s="216"/>
      <c r="G219" s="217"/>
      <c r="H219" s="217"/>
      <c r="I219" s="217"/>
      <c r="J219" s="217"/>
      <c r="K219" s="218"/>
      <c r="L219" s="217"/>
      <c r="M219" s="217"/>
      <c r="N219" s="217"/>
      <c r="O219" s="217"/>
      <c r="P219" s="216"/>
      <c r="Q219" s="217"/>
      <c r="R219" s="217"/>
      <c r="S219" s="217"/>
      <c r="T219" s="219"/>
    </row>
    <row r="220" spans="2:20" ht="40" customHeight="1" thickBot="1" x14ac:dyDescent="0.3">
      <c r="D220" s="1" t="e">
        <f>+IFERROR(IFERROR(VLOOKUP(A220,[7]Sheet1!$A$1:$C$65536,3,0),VLOOKUP(E220,[7]Sheet1!$A$1:$C$65536,3,0)),VLOOKUP(B220,[7]Sheet1!$A$1:$C$65536,3,0))</f>
        <v>#N/A</v>
      </c>
      <c r="E220" s="220" t="s">
        <v>288</v>
      </c>
      <c r="F220" s="221">
        <f>F90+F53+F45+F9</f>
        <v>2006081.9896303581</v>
      </c>
      <c r="G220" s="222">
        <f>G90+G53+G45+G9</f>
        <v>1745602.1017856023</v>
      </c>
      <c r="H220" s="222">
        <f t="shared" ref="H220:T220" si="30">H90+H53+H45+H9</f>
        <v>1553060.9279999998</v>
      </c>
      <c r="I220" s="222"/>
      <c r="J220" s="222">
        <f t="shared" si="30"/>
        <v>415338.10887738713</v>
      </c>
      <c r="K220" s="223">
        <f t="shared" si="30"/>
        <v>341876.0055865231</v>
      </c>
      <c r="L220" s="222">
        <f t="shared" si="30"/>
        <v>124981</v>
      </c>
      <c r="M220" s="222">
        <f t="shared" si="30"/>
        <v>38896.666666666664</v>
      </c>
      <c r="N220" s="222">
        <f t="shared" si="30"/>
        <v>44346.683670168517</v>
      </c>
      <c r="O220" s="222">
        <f t="shared" si="30"/>
        <v>160532</v>
      </c>
      <c r="P220" s="221">
        <f t="shared" si="30"/>
        <v>2177238.2400578856</v>
      </c>
      <c r="Q220" s="222">
        <f>Q90+Q53+Q45+Q9</f>
        <v>2100263.8985320902</v>
      </c>
      <c r="R220" s="222">
        <f t="shared" si="30"/>
        <v>1014800.2449999999</v>
      </c>
      <c r="S220" s="222">
        <f t="shared" si="30"/>
        <v>1163172.7620578853</v>
      </c>
      <c r="T220" s="224">
        <f t="shared" si="30"/>
        <v>192093.33449780001</v>
      </c>
    </row>
    <row r="222" spans="2:20" ht="13" thickBot="1" x14ac:dyDescent="0.3">
      <c r="K222" s="17"/>
      <c r="L222" s="17"/>
      <c r="M222" s="17"/>
      <c r="N222" s="17"/>
      <c r="O222" s="17"/>
    </row>
    <row r="223" spans="2:20" x14ac:dyDescent="0.25">
      <c r="E223" s="581" t="s">
        <v>373</v>
      </c>
      <c r="F223" s="582"/>
      <c r="G223" s="582"/>
      <c r="H223" s="582"/>
      <c r="I223" s="582"/>
      <c r="J223" s="582"/>
      <c r="K223" s="582"/>
      <c r="L223" s="582"/>
      <c r="M223" s="582"/>
      <c r="N223" s="582"/>
      <c r="O223" s="582"/>
      <c r="P223" s="582"/>
      <c r="Q223" s="582"/>
      <c r="R223" s="582"/>
      <c r="S223" s="582"/>
      <c r="T223" s="583"/>
    </row>
    <row r="224" spans="2:20" ht="13" thickBot="1" x14ac:dyDescent="0.3">
      <c r="E224" s="584"/>
      <c r="F224" s="585"/>
      <c r="G224" s="585"/>
      <c r="H224" s="585"/>
      <c r="I224" s="585"/>
      <c r="J224" s="585"/>
      <c r="K224" s="585"/>
      <c r="L224" s="585"/>
      <c r="M224" s="585"/>
      <c r="N224" s="585"/>
      <c r="O224" s="585"/>
      <c r="P224" s="585"/>
      <c r="Q224" s="585"/>
      <c r="R224" s="585"/>
      <c r="S224" s="585"/>
      <c r="T224" s="586"/>
    </row>
    <row r="225" spans="5:17" x14ac:dyDescent="0.25">
      <c r="K225" s="17"/>
      <c r="L225" s="17"/>
      <c r="M225" s="17"/>
      <c r="N225" s="17"/>
      <c r="O225" s="17"/>
    </row>
    <row r="226" spans="5:17" ht="17.5" x14ac:dyDescent="0.35">
      <c r="E226" s="18" t="s">
        <v>289</v>
      </c>
      <c r="F226" s="19">
        <f>P220-F220</f>
        <v>171156.25042752759</v>
      </c>
      <c r="G226" s="19">
        <f>Q220-G220</f>
        <v>354661.79674648796</v>
      </c>
      <c r="H226" s="19"/>
      <c r="I226" s="19"/>
      <c r="J226" s="19"/>
      <c r="K226" s="19">
        <f>Q220+T220-G220-K220-N220</f>
        <v>160532.44198759645</v>
      </c>
      <c r="L226" s="20"/>
      <c r="M226" s="20"/>
      <c r="N226" s="21"/>
      <c r="O226" s="22"/>
      <c r="Q226" s="23"/>
    </row>
    <row r="227" spans="5:17" x14ac:dyDescent="0.25">
      <c r="E227" s="18" t="s">
        <v>290</v>
      </c>
      <c r="F227" s="18"/>
      <c r="G227" s="22">
        <f>G226-[3]TableB9!S54*1000</f>
        <v>167637.79674648796</v>
      </c>
      <c r="H227" s="18"/>
      <c r="I227" s="18"/>
      <c r="J227" s="18"/>
      <c r="K227" s="24">
        <v>160532</v>
      </c>
      <c r="L227" s="24" t="s">
        <v>443</v>
      </c>
      <c r="M227" s="24"/>
      <c r="N227" s="24"/>
      <c r="O227" s="24"/>
    </row>
    <row r="228" spans="5:17" x14ac:dyDescent="0.25">
      <c r="E228" s="18"/>
      <c r="F228" s="18"/>
      <c r="G228" s="18"/>
      <c r="H228" s="18"/>
      <c r="I228" s="18"/>
      <c r="J228" s="18"/>
      <c r="K228" s="25"/>
      <c r="L228" s="25"/>
      <c r="M228" s="25"/>
      <c r="N228" s="25"/>
      <c r="O228" s="25"/>
      <c r="Q228" s="23"/>
    </row>
    <row r="229" spans="5:17" x14ac:dyDescent="0.25">
      <c r="E229" s="18" t="s">
        <v>291</v>
      </c>
      <c r="F229" s="18">
        <f>+[1]FX!$D$33</f>
        <v>0.90165899999999999</v>
      </c>
      <c r="G229" s="18"/>
      <c r="H229" s="18"/>
      <c r="I229" s="18"/>
      <c r="J229" s="18"/>
      <c r="K229" s="25"/>
      <c r="L229" s="25"/>
      <c r="M229" s="25"/>
      <c r="N229" s="25"/>
      <c r="O229" s="25"/>
    </row>
    <row r="230" spans="5:17" x14ac:dyDescent="0.25">
      <c r="E230" s="18"/>
      <c r="F230" s="18"/>
      <c r="G230" s="18"/>
      <c r="H230" s="18"/>
      <c r="I230" s="18"/>
      <c r="J230" s="18"/>
      <c r="K230" s="25"/>
      <c r="L230" s="25"/>
      <c r="M230" s="25"/>
      <c r="N230" s="25"/>
      <c r="O230" s="25"/>
    </row>
    <row r="231" spans="5:17" x14ac:dyDescent="0.25">
      <c r="E231" s="18"/>
      <c r="F231" s="18"/>
      <c r="G231" s="18"/>
      <c r="H231" s="18"/>
      <c r="I231" s="18"/>
      <c r="J231" s="18"/>
      <c r="K231" s="25"/>
      <c r="L231" s="25"/>
      <c r="M231" s="25"/>
      <c r="N231" s="25"/>
      <c r="O231" s="25"/>
    </row>
    <row r="232" spans="5:17" x14ac:dyDescent="0.25">
      <c r="E232" s="18"/>
      <c r="F232" s="18"/>
      <c r="G232" s="18"/>
      <c r="H232" s="18"/>
      <c r="I232" s="18"/>
      <c r="J232" s="18"/>
      <c r="K232" s="25"/>
      <c r="L232" s="25"/>
      <c r="M232" s="25"/>
      <c r="N232" s="25"/>
      <c r="O232" s="25"/>
    </row>
    <row r="233" spans="5:17" x14ac:dyDescent="0.25">
      <c r="E233" s="18"/>
      <c r="F233" s="18"/>
      <c r="G233" s="18"/>
      <c r="H233" s="18"/>
      <c r="I233" s="18"/>
      <c r="J233" s="18"/>
      <c r="K233" s="25"/>
      <c r="L233" s="25"/>
      <c r="M233" s="25"/>
      <c r="N233" s="25"/>
      <c r="O233" s="25"/>
    </row>
  </sheetData>
  <mergeCells count="19">
    <mergeCell ref="E2:T2"/>
    <mergeCell ref="F5:T5"/>
    <mergeCell ref="F6:J6"/>
    <mergeCell ref="K6:O6"/>
    <mergeCell ref="P6:S6"/>
    <mergeCell ref="T7:T8"/>
    <mergeCell ref="E223:T224"/>
    <mergeCell ref="N7:N8"/>
    <mergeCell ref="O7:O8"/>
    <mergeCell ref="P7:P8"/>
    <mergeCell ref="Q7:Q8"/>
    <mergeCell ref="R7:R8"/>
    <mergeCell ref="S7:S8"/>
    <mergeCell ref="F7:F8"/>
    <mergeCell ref="G7:G8"/>
    <mergeCell ref="H7:H8"/>
    <mergeCell ref="J7:J8"/>
    <mergeCell ref="K7:K8"/>
    <mergeCell ref="I7:I8"/>
  </mergeCells>
  <conditionalFormatting sqref="I55:I56 I61 I63:I64 I69 I71 I73 I75 I78 I80 I82 I84:I87 I90:I219">
    <cfRule type="expression" dxfId="0" priority="1">
      <formula>ISNA(I55)</formula>
    </cfRule>
  </conditionalFormatting>
  <pageMargins left="0.7" right="0.7" top="0.75" bottom="0.75" header="0.3" footer="0.3"/>
  <pageSetup scale="47" fitToHeight="0"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pageSetUpPr fitToPage="1"/>
  </sheetPr>
  <dimension ref="A1:G42"/>
  <sheetViews>
    <sheetView topLeftCell="A17" workbookViewId="0">
      <selection activeCell="C36" sqref="C36"/>
    </sheetView>
  </sheetViews>
  <sheetFormatPr defaultColWidth="8.81640625" defaultRowHeight="12.5" x14ac:dyDescent="0.25"/>
  <cols>
    <col min="1" max="5" width="27.81640625" style="26" customWidth="1"/>
    <col min="6" max="16384" width="8.81640625" style="26"/>
  </cols>
  <sheetData>
    <row r="1" spans="1:7" ht="13" thickBot="1" x14ac:dyDescent="0.3"/>
    <row r="2" spans="1:7" ht="60" customHeight="1" x14ac:dyDescent="0.25">
      <c r="A2" s="603" t="s">
        <v>374</v>
      </c>
      <c r="B2" s="604"/>
      <c r="C2" s="604"/>
      <c r="D2" s="604"/>
      <c r="E2" s="605"/>
    </row>
    <row r="3" spans="1:7" ht="13" customHeight="1" x14ac:dyDescent="0.4">
      <c r="A3" s="205"/>
      <c r="B3" s="32"/>
      <c r="C3" s="32"/>
      <c r="D3" s="32"/>
      <c r="E3" s="225"/>
    </row>
    <row r="4" spans="1:7" ht="13" customHeight="1" thickBot="1" x14ac:dyDescent="0.4">
      <c r="A4" s="205"/>
      <c r="B4" s="4" t="s">
        <v>1</v>
      </c>
      <c r="C4" s="4" t="s">
        <v>2</v>
      </c>
      <c r="D4" s="4" t="s">
        <v>3</v>
      </c>
      <c r="E4" s="226" t="s">
        <v>6</v>
      </c>
    </row>
    <row r="5" spans="1:7" s="31" customFormat="1" ht="35.25" customHeight="1" x14ac:dyDescent="0.35">
      <c r="A5" s="615" t="s">
        <v>297</v>
      </c>
      <c r="B5" s="616"/>
      <c r="C5" s="616"/>
      <c r="D5" s="616"/>
      <c r="E5" s="617"/>
      <c r="G5" s="31" t="s">
        <v>357</v>
      </c>
    </row>
    <row r="6" spans="1:7" ht="18" customHeight="1" x14ac:dyDescent="0.35">
      <c r="A6" s="227"/>
      <c r="B6" s="612" t="s">
        <v>296</v>
      </c>
      <c r="C6" s="613"/>
      <c r="D6" s="613"/>
      <c r="E6" s="614"/>
      <c r="G6" s="26">
        <v>0.84</v>
      </c>
    </row>
    <row r="7" spans="1:7" ht="31" x14ac:dyDescent="0.25">
      <c r="A7" s="73" t="s">
        <v>295</v>
      </c>
      <c r="B7" s="74" t="s">
        <v>294</v>
      </c>
      <c r="C7" s="72" t="s">
        <v>66</v>
      </c>
      <c r="D7" s="228" t="s">
        <v>49</v>
      </c>
      <c r="E7" s="229" t="s">
        <v>326</v>
      </c>
    </row>
    <row r="8" spans="1:7" ht="12" customHeight="1" x14ac:dyDescent="0.25">
      <c r="A8" s="230" t="s">
        <v>38</v>
      </c>
      <c r="B8" s="231">
        <f>+VLOOKUP(A8,[2]Disc_EU_DI_less_DO!A:B,2,0)/1000</f>
        <v>0</v>
      </c>
      <c r="C8" s="232">
        <f>+VLOOKUP($A8,[2]Disc_EXTEU_DI_less_DO!$A:$C,3,0)/1000</f>
        <v>-0.44402399999999997</v>
      </c>
      <c r="D8" s="27">
        <f>+VLOOKUP(A8,[2]Disc_EXTEU_DI_less_DO!$A:$C,2,0)/1000</f>
        <v>0</v>
      </c>
      <c r="E8" s="233">
        <f t="shared" ref="E8:E37" si="0">+SUM(B8:D8)</f>
        <v>-0.44402399999999997</v>
      </c>
    </row>
    <row r="9" spans="1:7" ht="15.5" x14ac:dyDescent="0.25">
      <c r="A9" s="234" t="s">
        <v>60</v>
      </c>
      <c r="B9" s="28">
        <f>+VLOOKUP(A9,[2]Disc_EU_DI_less_DO!A:B,2,0)/1000</f>
        <v>0</v>
      </c>
      <c r="C9" s="27">
        <f>+VLOOKUP(A9,[2]Disc_EXTEU_DI_less_DO!A:C,3,0)/1000</f>
        <v>0</v>
      </c>
      <c r="D9" s="27">
        <f>+VLOOKUP(A9,[2]Disc_EXTEU_DI_less_DO!A:C,2,0)/1000</f>
        <v>0</v>
      </c>
      <c r="E9" s="235">
        <f t="shared" si="0"/>
        <v>0</v>
      </c>
    </row>
    <row r="10" spans="1:7" ht="15.5" x14ac:dyDescent="0.25">
      <c r="A10" s="234" t="s">
        <v>51</v>
      </c>
      <c r="B10" s="28">
        <f>+VLOOKUP(A10,[2]Disc_EU_DI_less_DO!A:B,2,0)/1000</f>
        <v>0</v>
      </c>
      <c r="C10" s="27">
        <f>+VLOOKUP(A10,[2]Disc_EXTEU_DI_less_DO!A:C,3,0)/1000</f>
        <v>-2.1840000000000002E-3</v>
      </c>
      <c r="D10" s="27">
        <f>+VLOOKUP(A10,[2]Disc_EXTEU_DI_less_DO!A:C,2,0)/1000</f>
        <v>0</v>
      </c>
      <c r="E10" s="235">
        <f t="shared" si="0"/>
        <v>-2.1840000000000002E-3</v>
      </c>
    </row>
    <row r="11" spans="1:7" ht="15.5" x14ac:dyDescent="0.25">
      <c r="A11" s="234" t="s">
        <v>169</v>
      </c>
      <c r="B11" s="28">
        <f>+VLOOKUP(A11,[2]Disc_EU_DI_less_DO!A:B,2,0)/1000</f>
        <v>0</v>
      </c>
      <c r="C11" s="27">
        <f>+VLOOKUP(A11,[2]Disc_EXTEU_DI_less_DO!A:C,3,0)/1000</f>
        <v>0</v>
      </c>
      <c r="D11" s="27">
        <f>+VLOOKUP(A11,[2]Disc_EXTEU_DI_less_DO!A:C,2,0)/1000</f>
        <v>0</v>
      </c>
      <c r="E11" s="235">
        <f t="shared" si="0"/>
        <v>0</v>
      </c>
    </row>
    <row r="12" spans="1:7" ht="15.5" x14ac:dyDescent="0.25">
      <c r="A12" s="234" t="s">
        <v>40</v>
      </c>
      <c r="B12" s="28">
        <f>+VLOOKUP(A12,[2]Disc_EU_DI_less_DO!A:B,2,0)/1000</f>
        <v>-1.0196000000000001</v>
      </c>
      <c r="C12" s="27">
        <f>+VLOOKUP(A12,[2]Disc_EXTEU_DI_less_DO!A:C,3,0)/1000</f>
        <v>6.6360000000000004E-3</v>
      </c>
      <c r="D12" s="27">
        <f>+VLOOKUP(A12,[2]Disc_EXTEU_DI_less_DO!A:C,2,0)/1000</f>
        <v>0</v>
      </c>
      <c r="E12" s="235">
        <f t="shared" si="0"/>
        <v>-1.012964</v>
      </c>
    </row>
    <row r="13" spans="1:7" ht="15.5" x14ac:dyDescent="0.25">
      <c r="A13" s="234" t="s">
        <v>61</v>
      </c>
      <c r="B13" s="28">
        <f>+VLOOKUP(A13,[2]Disc_EU_DI_less_DO!A:B,2,0)/1000</f>
        <v>0</v>
      </c>
      <c r="C13" s="27">
        <f>+VLOOKUP(A13,[2]Disc_EXTEU_DI_less_DO!A:C,3,0)/1000</f>
        <v>0</v>
      </c>
      <c r="D13" s="27">
        <f>+VLOOKUP(A13,[2]Disc_EXTEU_DI_less_DO!A:C,2,0)/1000</f>
        <v>1.6344000000000001</v>
      </c>
      <c r="E13" s="235">
        <f t="shared" si="0"/>
        <v>1.6344000000000001</v>
      </c>
    </row>
    <row r="14" spans="1:7" ht="15.5" x14ac:dyDescent="0.25">
      <c r="A14" s="234" t="s">
        <v>148</v>
      </c>
      <c r="B14" s="28">
        <f>+VLOOKUP(A14,[2]Disc_EU_DI_less_DO!A:B,2,0)/1000</f>
        <v>-0.1993</v>
      </c>
      <c r="C14" s="27">
        <f>+VLOOKUP(A14,[2]Disc_EXTEU_DI_less_DO!A:C,3,0)/1000</f>
        <v>0</v>
      </c>
      <c r="D14" s="27">
        <f>+VLOOKUP(A14,[2]Disc_EXTEU_DI_less_DO!A:C,2,0)/1000</f>
        <v>0</v>
      </c>
      <c r="E14" s="235">
        <f t="shared" si="0"/>
        <v>-0.1993</v>
      </c>
    </row>
    <row r="15" spans="1:7" ht="15.5" x14ac:dyDescent="0.25">
      <c r="A15" s="234" t="s">
        <v>39</v>
      </c>
      <c r="B15" s="28">
        <f>+VLOOKUP(A15,[2]Disc_EU_DI_less_DO!A:B,2,0)/1000</f>
        <v>0</v>
      </c>
      <c r="C15" s="27">
        <f>+VLOOKUP(A15,[2]Disc_EXTEU_DI_less_DO!A:C,3,0)/1000</f>
        <v>-1.5204000000000001E-2</v>
      </c>
      <c r="D15" s="27">
        <f>+VLOOKUP(A15,[2]Disc_EXTEU_DI_less_DO!A:C,2,0)/1000</f>
        <v>0</v>
      </c>
      <c r="E15" s="235">
        <f t="shared" si="0"/>
        <v>-1.5204000000000001E-2</v>
      </c>
    </row>
    <row r="16" spans="1:7" ht="15.5" x14ac:dyDescent="0.25">
      <c r="A16" s="234" t="s">
        <v>58</v>
      </c>
      <c r="B16" s="28">
        <f>+VLOOKUP(A16,[2]Disc_EU_DI_less_DO!A:B,2,0)/1000</f>
        <v>0</v>
      </c>
      <c r="C16" s="27">
        <f>+VLOOKUP(A16,[2]Disc_EXTEU_DI_less_DO!A:C,3,0)/1000</f>
        <v>0</v>
      </c>
      <c r="D16" s="27">
        <f>+VLOOKUP(A16,[2]Disc_EXTEU_DI_less_DO!A:C,2,0)/1000</f>
        <v>0</v>
      </c>
      <c r="E16" s="235">
        <f t="shared" si="0"/>
        <v>0</v>
      </c>
    </row>
    <row r="17" spans="1:5" ht="15.5" x14ac:dyDescent="0.25">
      <c r="A17" s="234" t="s">
        <v>216</v>
      </c>
      <c r="B17" s="28">
        <f>+VLOOKUP(A17,[2]Disc_EU_DI_less_DO!A:B,2,0)/1000</f>
        <v>0</v>
      </c>
      <c r="C17" s="27">
        <f>+VLOOKUP(A17,[2]Disc_EXTEU_DI_less_DO!A:C,3,0)/1000</f>
        <v>-3.3600000000000005E-2</v>
      </c>
      <c r="D17" s="27">
        <f>+VLOOKUP(A17,[2]Disc_EXTEU_DI_less_DO!A:C,2,0)/1000</f>
        <v>0</v>
      </c>
      <c r="E17" s="235">
        <f t="shared" si="0"/>
        <v>-3.3600000000000005E-2</v>
      </c>
    </row>
    <row r="18" spans="1:5" ht="15.5" x14ac:dyDescent="0.25">
      <c r="A18" s="234" t="s">
        <v>43</v>
      </c>
      <c r="B18" s="28">
        <f>+VLOOKUP(A18,[2]Disc_EU_DI_less_DO!A:B,2,0)/1000</f>
        <v>0</v>
      </c>
      <c r="C18" s="27">
        <f>+VLOOKUP(A18,[2]Disc_EXTEU_DI_less_DO!A:C,3,0)/1000</f>
        <v>0.17262</v>
      </c>
      <c r="D18" s="27">
        <f>+VLOOKUP(A18,[2]Disc_EXTEU_DI_less_DO!A:C,2,0)/1000</f>
        <v>0</v>
      </c>
      <c r="E18" s="235">
        <f t="shared" si="0"/>
        <v>0.17262</v>
      </c>
    </row>
    <row r="19" spans="1:5" ht="15.5" x14ac:dyDescent="0.25">
      <c r="A19" s="234" t="s">
        <v>109</v>
      </c>
      <c r="B19" s="28">
        <f>+VLOOKUP(A19,[2]Disc_EU_DI_less_DO!A:B,2,0)/1000</f>
        <v>0</v>
      </c>
      <c r="C19" s="27">
        <f>+VLOOKUP(A19,[2]Disc_EXTEU_DI_less_DO!A:C,3,0)/1000</f>
        <v>0</v>
      </c>
      <c r="D19" s="27">
        <f>+VLOOKUP(A19,[2]Disc_EXTEU_DI_less_DO!A:C,2,0)/1000</f>
        <v>0</v>
      </c>
      <c r="E19" s="235">
        <f t="shared" si="0"/>
        <v>0</v>
      </c>
    </row>
    <row r="20" spans="1:5" ht="15.5" x14ac:dyDescent="0.25">
      <c r="A20" s="234" t="s">
        <v>249</v>
      </c>
      <c r="B20" s="28">
        <f>+VLOOKUP(A20,[2]Disc_EU_DI_less_DO!A:B,2,0)/1000</f>
        <v>0</v>
      </c>
      <c r="C20" s="27">
        <f>+VLOOKUP(A20,[2]Disc_EXTEU_DI_less_DO!A:C,3,0)/1000</f>
        <v>0</v>
      </c>
      <c r="D20" s="27">
        <f>+VLOOKUP(A20,[2]Disc_EXTEU_DI_less_DO!A:C,2,0)/1000</f>
        <v>0</v>
      </c>
      <c r="E20" s="235">
        <f t="shared" si="0"/>
        <v>0</v>
      </c>
    </row>
    <row r="21" spans="1:5" ht="15.5" x14ac:dyDescent="0.25">
      <c r="A21" s="234" t="s">
        <v>293</v>
      </c>
      <c r="B21" s="28">
        <f>+VLOOKUP(A21,[2]Disc_EU_DI_less_DO!A:B,2,0)/1000</f>
        <v>0</v>
      </c>
      <c r="C21" s="27">
        <f>+VLOOKUP(A21,[2]Disc_EXTEU_DI_less_DO!A:C,3,0)/1000</f>
        <v>0</v>
      </c>
      <c r="D21" s="27">
        <f>+VLOOKUP(A21,[2]Disc_EXTEU_DI_less_DO!A:C,2,0)/1000</f>
        <v>0</v>
      </c>
      <c r="E21" s="235">
        <f t="shared" si="0"/>
        <v>0</v>
      </c>
    </row>
    <row r="22" spans="1:5" ht="15.5" x14ac:dyDescent="0.25">
      <c r="A22" s="234" t="s">
        <v>33</v>
      </c>
      <c r="B22" s="28">
        <f>+VLOOKUP(A22,[2]Disc_EU_DI_less_DO!A:B,2,0)/1000</f>
        <v>0</v>
      </c>
      <c r="C22" s="27">
        <f>+VLOOKUP(A22,[2]Disc_EXTEU_DI_less_DO!A:C,3,0)/1000</f>
        <v>0.53625599999999995</v>
      </c>
      <c r="D22" s="27">
        <f>+VLOOKUP(A22,[2]Disc_EXTEU_DI_less_DO!A:C,2,0)/1000</f>
        <v>0</v>
      </c>
      <c r="E22" s="235">
        <f t="shared" si="0"/>
        <v>0.53625599999999995</v>
      </c>
    </row>
    <row r="23" spans="1:5" ht="15.5" x14ac:dyDescent="0.25">
      <c r="A23" s="234" t="s">
        <v>62</v>
      </c>
      <c r="B23" s="28">
        <f>+VLOOKUP(A23,[2]Disc_EU_DI_less_DO!A:B,2,0)/1000</f>
        <v>0</v>
      </c>
      <c r="C23" s="27">
        <f>+VLOOKUP(A23,[2]Disc_EXTEU_DI_less_DO!A:C,3,0)/1000</f>
        <v>0</v>
      </c>
      <c r="D23" s="27">
        <f>+VLOOKUP(A23,[2]Disc_EXTEU_DI_less_DO!A:C,2,0)/1000</f>
        <v>1.8699999999999998E-2</v>
      </c>
      <c r="E23" s="235">
        <f t="shared" si="0"/>
        <v>1.8699999999999998E-2</v>
      </c>
    </row>
    <row r="24" spans="1:5" ht="15.5" x14ac:dyDescent="0.25">
      <c r="A24" s="234" t="s">
        <v>42</v>
      </c>
      <c r="B24" s="28">
        <f>+[2]Disc_EU_DI_less_DO!B48/1000</f>
        <v>0</v>
      </c>
      <c r="C24" s="27">
        <f>+[2]Disc_EXTEU_DI_less_DO!C15/1000</f>
        <v>0.85461599999999993</v>
      </c>
      <c r="D24" s="27">
        <f>+[2]Disc_EXTEU_DI_less_DO!B15/1000</f>
        <v>1.0972999999999999</v>
      </c>
      <c r="E24" s="235">
        <f t="shared" si="0"/>
        <v>1.9519159999999998</v>
      </c>
    </row>
    <row r="25" spans="1:5" ht="15.5" x14ac:dyDescent="0.25">
      <c r="A25" s="234" t="s">
        <v>44</v>
      </c>
      <c r="B25" s="28">
        <f>+VLOOKUP(A25,[2]Disc_EU_DI_less_DO!A:B,2,0)/1000</f>
        <v>-4.0739999999999998</v>
      </c>
      <c r="C25" s="27">
        <f>+VLOOKUP(A25,[2]Disc_EXTEU_DI_less_DO!A:C,3,0)/1000</f>
        <v>0.390264</v>
      </c>
      <c r="D25" s="27">
        <f>+VLOOKUP(A25,[2]Disc_EXTEU_DI_less_DO!A:C,2,0)/1000</f>
        <v>0</v>
      </c>
      <c r="E25" s="235">
        <f t="shared" si="0"/>
        <v>-3.6837359999999997</v>
      </c>
    </row>
    <row r="26" spans="1:5" ht="15.5" x14ac:dyDescent="0.25">
      <c r="A26" s="234" t="s">
        <v>34</v>
      </c>
      <c r="B26" s="28">
        <f>+VLOOKUP(A26,[2]Disc_EU_DI_less_DO!A:B,2,0)/1000</f>
        <v>-19.491499999999998</v>
      </c>
      <c r="C26" s="27">
        <f>+VLOOKUP(A26,[2]Disc_EXTEU_DI_less_DO!A:C,3,0)/1000</f>
        <v>0</v>
      </c>
      <c r="D26" s="27">
        <f>+VLOOKUP(A26,[2]Disc_EXTEU_DI_less_DO!A:C,2,0)/1000</f>
        <v>-1.17</v>
      </c>
      <c r="E26" s="235">
        <f t="shared" si="0"/>
        <v>-20.661499999999997</v>
      </c>
    </row>
    <row r="27" spans="1:5" ht="15.5" x14ac:dyDescent="0.25">
      <c r="A27" s="234" t="s">
        <v>48</v>
      </c>
      <c r="B27" s="28">
        <f>+VLOOKUP(A27,[2]Disc_EU_DI_less_DO!A:B,2,0)/1000</f>
        <v>-6.617</v>
      </c>
      <c r="C27" s="27">
        <f>+VLOOKUP(A27,[2]Disc_EXTEU_DI_less_DO!A:C,3,0)/1000</f>
        <v>0.928956</v>
      </c>
      <c r="D27" s="27">
        <f>+VLOOKUP(A27,[2]Disc_EXTEU_DI_less_DO!A:C,2,0)/1000</f>
        <v>-4.4700000000000004E-2</v>
      </c>
      <c r="E27" s="235">
        <f t="shared" si="0"/>
        <v>-5.7327439999999994</v>
      </c>
    </row>
    <row r="28" spans="1:5" ht="15.5" x14ac:dyDescent="0.25">
      <c r="A28" s="234" t="s">
        <v>96</v>
      </c>
      <c r="B28" s="28">
        <f>+VLOOKUP(A28,[2]Disc_EU_DI_less_DO!A:B,2,0)/1000</f>
        <v>0</v>
      </c>
      <c r="C28" s="27">
        <f>+VLOOKUP(A28,[2]Disc_EXTEU_DI_less_DO!A:C,3,0)/1000</f>
        <v>0</v>
      </c>
      <c r="D28" s="27">
        <f>+VLOOKUP(A28,[2]Disc_EXTEU_DI_less_DO!A:C,2,0)/1000</f>
        <v>0</v>
      </c>
      <c r="E28" s="235">
        <f t="shared" si="0"/>
        <v>0</v>
      </c>
    </row>
    <row r="29" spans="1:5" ht="15.5" x14ac:dyDescent="0.25">
      <c r="A29" s="234" t="s">
        <v>49</v>
      </c>
      <c r="B29" s="28">
        <f>+INDEX([2]Disc_nonEUcountries!$A$1:$AN$43,MATCH(A29,[2]Disc_nonEUcountries!A:A,0),MATCH([2]Disc_nonEUcountries!$K$2,[2]Disc_nonEUcountries!$2:$2,0))/1000</f>
        <v>-3.5627</v>
      </c>
      <c r="C29" s="27">
        <f>+INDEX([2]Disc_nonEUcountries!$A$1:$AN$43,MATCH($A29,[2]Disc_nonEUcountries!$A:$A,0),MATCH(C$7,[2]Disc_nonEUcountries!$2:$2,0))/1000</f>
        <v>0</v>
      </c>
      <c r="D29" s="27">
        <f>+INDEX([2]Disc_nonEUcountries!$A$1:$AN$43,MATCH($A29,[2]Disc_nonEUcountries!$A:$A,0),MATCH(D$7,[2]Disc_nonEUcountries!$2:$2,0))/1000</f>
        <v>0</v>
      </c>
      <c r="E29" s="235">
        <f t="shared" si="0"/>
        <v>-3.5627</v>
      </c>
    </row>
    <row r="30" spans="1:5" ht="15.5" x14ac:dyDescent="0.25">
      <c r="A30" s="234" t="s">
        <v>66</v>
      </c>
      <c r="B30" s="28">
        <f>+INDEX([2]Disc_nonEUcountries!$A$1:$AN$43,MATCH(A30,[2]Disc_nonEUcountries!A:A,0),MATCH([2]Disc_nonEUcountries!$K$2,[2]Disc_nonEUcountries!$2:$2,0))/1000</f>
        <v>0</v>
      </c>
      <c r="C30" s="27">
        <f>+INDEX([2]Disc_nonEUcountries!$A$1:$AN$43,MATCH(A30,[2]Disc_nonEUcountries!A:A,0),MATCH(C$7,[2]Disc_nonEUcountries!$2:$2,0))/1000</f>
        <v>0</v>
      </c>
      <c r="D30" s="27">
        <f>+INDEX([2]Disc_nonEUcountries!$A$1:$AN$43,MATCH($A30,[2]Disc_nonEUcountries!$A:$A,0),MATCH(D$7,[2]Disc_nonEUcountries!$2:$2,0))/1000</f>
        <v>0</v>
      </c>
      <c r="E30" s="235">
        <f t="shared" si="0"/>
        <v>0</v>
      </c>
    </row>
    <row r="31" spans="1:5" ht="15.5" x14ac:dyDescent="0.25">
      <c r="A31" s="234" t="s">
        <v>37</v>
      </c>
      <c r="B31" s="28">
        <f>+INDEX([2]Disc_nonEUcountries!$A$1:$AN$43,MATCH("Czechia",[2]Disc_nonEUcountries!A:A,0),MATCH([2]Disc_nonEUcountries!$K$2,[2]Disc_nonEUcountries!$2:$2,0))/1000</f>
        <v>0</v>
      </c>
      <c r="C31" s="27">
        <f>+INDEX([2]Disc_nonEUcountries!$A$1:$AN$43,MATCH("Czechia",[2]Disc_nonEUcountries!A:A,0),MATCH(C$7,[2]Disc_nonEUcountries!$2:$2,0))/1000</f>
        <v>0</v>
      </c>
      <c r="D31" s="27">
        <f>+INDEX([2]Disc_nonEUcountries!$A$1:$AN$43,MATCH("Czechia",[2]Disc_nonEUcountries!$A:$A,0),MATCH(D$7,[2]Disc_nonEUcountries!$2:$2,0))/1000</f>
        <v>0</v>
      </c>
      <c r="E31" s="235">
        <f t="shared" si="0"/>
        <v>0</v>
      </c>
    </row>
    <row r="32" spans="1:5" ht="15.5" x14ac:dyDescent="0.25">
      <c r="A32" s="234" t="s">
        <v>57</v>
      </c>
      <c r="B32" s="28">
        <f>+VLOOKUP(A32,[2]Disc_EU_DI_less_DO!A:B,2,0)/1000</f>
        <v>0</v>
      </c>
      <c r="C32" s="27">
        <f>+VLOOKUP(A32,[2]Disc_EXTEU_DI_less_DO!A:C,3,0)/1000</f>
        <v>0.84529199999999993</v>
      </c>
      <c r="D32" s="27">
        <f>+VLOOKUP(A32,[2]Disc_EXTEU_DI_less_DO!A:C,2,0)/1000</f>
        <v>0</v>
      </c>
      <c r="E32" s="235">
        <f t="shared" si="0"/>
        <v>0.84529199999999993</v>
      </c>
    </row>
    <row r="33" spans="1:5" ht="15.5" x14ac:dyDescent="0.25">
      <c r="A33" s="234" t="s">
        <v>41</v>
      </c>
      <c r="B33" s="28">
        <f>+VLOOKUP(A33,[2]Disc_EU_DI_less_DO!A:B,2,0)/1000</f>
        <v>0</v>
      </c>
      <c r="C33" s="27">
        <f>+VLOOKUP(A33,[2]Disc_EXTEU_DI_less_DO!A:C,3,0)/1000</f>
        <v>0.11936399999999998</v>
      </c>
      <c r="D33" s="27">
        <f>+VLOOKUP(A33,[2]Disc_EXTEU_DI_less_DO!A:C,2,0)/1000</f>
        <v>0.2611</v>
      </c>
      <c r="E33" s="235">
        <f t="shared" si="0"/>
        <v>0.38046399999999997</v>
      </c>
    </row>
    <row r="34" spans="1:5" ht="15.5" x14ac:dyDescent="0.25">
      <c r="A34" s="234" t="s">
        <v>65</v>
      </c>
      <c r="B34" s="28">
        <f>+VLOOKUP(A34,[2]Disc_EU_DI_less_DO!A:B,2,0)/1000</f>
        <v>5.5456000000000003</v>
      </c>
      <c r="C34" s="27">
        <f>+VLOOKUP(A34,[2]Disc_EXTEU_DI_less_DO!A:C,3,0)/1000</f>
        <v>0</v>
      </c>
      <c r="D34" s="27">
        <f>+VLOOKUP(A34,[2]Disc_EXTEU_DI_less_DO!A:C,2,0)/1000</f>
        <v>-0.37989999999999996</v>
      </c>
      <c r="E34" s="235">
        <f t="shared" si="0"/>
        <v>5.1657000000000002</v>
      </c>
    </row>
    <row r="35" spans="1:5" ht="15.5" x14ac:dyDescent="0.25">
      <c r="A35" s="234" t="s">
        <v>52</v>
      </c>
      <c r="B35" s="28">
        <f>+VLOOKUP(A35,[2]Disc_EU_DI_less_DO!A:B,2,0)/1000</f>
        <v>23.810400000000001</v>
      </c>
      <c r="C35" s="27">
        <f>+VLOOKUP(A35,[2]Disc_EXTEU_DI_less_DO!A:C,3,0)/1000</f>
        <v>12.501132</v>
      </c>
      <c r="D35" s="27">
        <f>+VLOOKUP(A35,[2]Disc_EXTEU_DI_less_DO!A:C,2,0)/1000</f>
        <v>8.9466999999999999</v>
      </c>
      <c r="E35" s="235">
        <f t="shared" si="0"/>
        <v>45.258232</v>
      </c>
    </row>
    <row r="36" spans="1:5" ht="15.5" x14ac:dyDescent="0.25">
      <c r="A36" s="234" t="s">
        <v>54</v>
      </c>
      <c r="B36" s="28">
        <f>+VLOOKUP(A36,[2]Disc_EU_DI_less_DO!A:B,2,0)/1000</f>
        <v>-0.82240000000000002</v>
      </c>
      <c r="C36" s="27">
        <f>+VLOOKUP(A36,[2]Disc_EXTEU_DI_less_DO!A:C,3,0)/1000</f>
        <v>54.696263999999992</v>
      </c>
      <c r="D36" s="27">
        <f>+VLOOKUP(A36,[2]Disc_EXTEU_DI_less_DO!A:C,2,0)/1000</f>
        <v>0.73850000000000005</v>
      </c>
      <c r="E36" s="235">
        <f t="shared" si="0"/>
        <v>54.612363999999992</v>
      </c>
    </row>
    <row r="37" spans="1:5" ht="15.5" x14ac:dyDescent="0.25">
      <c r="A37" s="234" t="s">
        <v>46</v>
      </c>
      <c r="B37" s="28">
        <f>+VLOOKUP(A37,[2]Disc_EU_DI_less_DO!A:B,2,0)/1000</f>
        <v>0</v>
      </c>
      <c r="C37" s="27">
        <f>+VLOOKUP(A37,[2]Disc_EXTEU_DI_less_DO!A:C,3,0)/1000</f>
        <v>37.786644000000003</v>
      </c>
      <c r="D37" s="27">
        <f>+VLOOKUP(A37,[2]Disc_EXTEU_DI_less_DO!A:C,2,0)/1000</f>
        <v>0</v>
      </c>
      <c r="E37" s="235">
        <f t="shared" si="0"/>
        <v>37.786644000000003</v>
      </c>
    </row>
    <row r="38" spans="1:5" ht="15.5" x14ac:dyDescent="0.25">
      <c r="A38" s="234"/>
      <c r="B38" s="30"/>
      <c r="C38" s="29"/>
      <c r="D38" s="29"/>
      <c r="E38" s="236"/>
    </row>
    <row r="39" spans="1:5" ht="27" customHeight="1" thickBot="1" x14ac:dyDescent="0.3">
      <c r="A39" s="237" t="s">
        <v>292</v>
      </c>
      <c r="B39" s="238">
        <f>SUM(B8:B37)</f>
        <v>-6.4305000000000003</v>
      </c>
      <c r="C39" s="239">
        <f>SUM(C8:C37)</f>
        <v>108.34303199999999</v>
      </c>
      <c r="D39" s="239">
        <f>SUM(D8:D37)</f>
        <v>11.1021</v>
      </c>
      <c r="E39" s="240">
        <f>SUM(E8:E37)</f>
        <v>113.01463200000001</v>
      </c>
    </row>
    <row r="40" spans="1:5" ht="13" thickBot="1" x14ac:dyDescent="0.3"/>
    <row r="41" spans="1:5" ht="12.5" customHeight="1" x14ac:dyDescent="0.25">
      <c r="A41" s="606" t="s">
        <v>375</v>
      </c>
      <c r="B41" s="607"/>
      <c r="C41" s="607"/>
      <c r="D41" s="607"/>
      <c r="E41" s="608"/>
    </row>
    <row r="42" spans="1:5" ht="18" customHeight="1" thickBot="1" x14ac:dyDescent="0.3">
      <c r="A42" s="609"/>
      <c r="B42" s="610"/>
      <c r="C42" s="610"/>
      <c r="D42" s="610"/>
      <c r="E42" s="611"/>
    </row>
  </sheetData>
  <mergeCells count="4">
    <mergeCell ref="A2:E2"/>
    <mergeCell ref="A41:E42"/>
    <mergeCell ref="B6:E6"/>
    <mergeCell ref="A5:E5"/>
  </mergeCells>
  <pageMargins left="0.7" right="0.7" top="0.75" bottom="0.75" header="0.3" footer="0.3"/>
  <pageSetup paperSize="9" scale="52"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AU112"/>
  <sheetViews>
    <sheetView zoomScaleNormal="85" workbookViewId="0">
      <pane xSplit="3" ySplit="7" topLeftCell="D19" activePane="bottomRight" state="frozen"/>
      <selection activeCell="G29" sqref="G29"/>
      <selection pane="topRight" activeCell="G29" sqref="G29"/>
      <selection pane="bottomLeft" activeCell="G29" sqref="G29"/>
      <selection pane="bottomRight" activeCell="D100" activeCellId="1" sqref="O100 D100"/>
    </sheetView>
  </sheetViews>
  <sheetFormatPr defaultColWidth="10.81640625" defaultRowHeight="15.5" x14ac:dyDescent="0.35"/>
  <cols>
    <col min="1" max="1" width="0" style="253" hidden="1" customWidth="1"/>
    <col min="2" max="2" width="10.81640625" style="253" hidden="1" customWidth="1"/>
    <col min="3" max="3" width="19" style="253" customWidth="1"/>
    <col min="4" max="4" width="10.81640625" style="253" customWidth="1"/>
    <col min="5" max="5" width="10.81640625" style="254" customWidth="1"/>
    <col min="6" max="25" width="10.81640625" style="253" customWidth="1"/>
    <col min="26" max="28" width="10.81640625" style="253"/>
    <col min="29" max="29" width="15" style="253" customWidth="1"/>
    <col min="30" max="34" width="10.81640625" style="253"/>
    <col min="35" max="35" width="15" style="253" customWidth="1"/>
    <col min="36" max="40" width="10.81640625" style="253"/>
    <col min="41" max="41" width="15" style="253" customWidth="1"/>
    <col min="42" max="45" width="10.81640625" style="253"/>
    <col min="46" max="46" width="12.81640625" style="253" bestFit="1" customWidth="1"/>
    <col min="47" max="16384" width="10.81640625" style="253"/>
  </cols>
  <sheetData>
    <row r="1" spans="3:47" ht="16" thickBot="1" x14ac:dyDescent="0.4">
      <c r="N1" s="318"/>
      <c r="O1" s="318"/>
      <c r="Y1" s="318"/>
    </row>
    <row r="2" spans="3:47" ht="16" hidden="1" thickBot="1" x14ac:dyDescent="0.4">
      <c r="F2" s="253">
        <v>2</v>
      </c>
      <c r="G2" s="253">
        <v>3</v>
      </c>
      <c r="H2" s="253">
        <v>4</v>
      </c>
      <c r="I2" s="253">
        <v>5</v>
      </c>
      <c r="J2" s="253">
        <v>6</v>
      </c>
      <c r="K2" s="253">
        <v>7</v>
      </c>
      <c r="Q2" s="253">
        <v>2</v>
      </c>
      <c r="R2" s="253">
        <v>3</v>
      </c>
      <c r="S2" s="253">
        <v>4</v>
      </c>
      <c r="T2" s="253">
        <v>5</v>
      </c>
      <c r="U2" s="253">
        <v>6</v>
      </c>
      <c r="V2" s="253">
        <v>7</v>
      </c>
    </row>
    <row r="3" spans="3:47" ht="32" customHeight="1" thickTop="1" x14ac:dyDescent="0.35">
      <c r="C3" s="618" t="s">
        <v>401</v>
      </c>
      <c r="D3" s="619"/>
      <c r="E3" s="619"/>
      <c r="F3" s="619"/>
      <c r="G3" s="619"/>
      <c r="H3" s="619"/>
      <c r="I3" s="619"/>
      <c r="J3" s="619"/>
      <c r="K3" s="619"/>
      <c r="L3" s="619"/>
      <c r="M3" s="619"/>
      <c r="N3" s="619"/>
      <c r="O3" s="619"/>
      <c r="P3" s="619"/>
      <c r="Q3" s="619"/>
      <c r="R3" s="619"/>
      <c r="S3" s="619"/>
      <c r="T3" s="619"/>
      <c r="U3" s="619"/>
      <c r="V3" s="619"/>
      <c r="W3" s="619"/>
      <c r="X3" s="619"/>
      <c r="Y3" s="620"/>
    </row>
    <row r="4" spans="3:47" ht="20" x14ac:dyDescent="0.35">
      <c r="C4" s="333"/>
      <c r="D4" s="4" t="s">
        <v>1</v>
      </c>
      <c r="E4" s="4" t="s">
        <v>2</v>
      </c>
      <c r="F4" s="4" t="s">
        <v>3</v>
      </c>
      <c r="G4" s="4" t="s">
        <v>4</v>
      </c>
      <c r="H4" s="4" t="s">
        <v>5</v>
      </c>
      <c r="I4" s="4" t="s">
        <v>6</v>
      </c>
      <c r="J4" s="4" t="s">
        <v>7</v>
      </c>
      <c r="K4" s="4" t="s">
        <v>8</v>
      </c>
      <c r="L4" s="4" t="s">
        <v>9</v>
      </c>
      <c r="M4" s="4" t="s">
        <v>10</v>
      </c>
      <c r="N4" s="4" t="s">
        <v>11</v>
      </c>
      <c r="O4" s="4" t="s">
        <v>12</v>
      </c>
      <c r="P4" s="4" t="s">
        <v>13</v>
      </c>
      <c r="Q4" s="4" t="s">
        <v>14</v>
      </c>
      <c r="R4" s="4" t="s">
        <v>331</v>
      </c>
      <c r="S4" s="4" t="s">
        <v>330</v>
      </c>
      <c r="T4" s="4" t="s">
        <v>376</v>
      </c>
      <c r="U4" s="4" t="s">
        <v>377</v>
      </c>
      <c r="V4" s="4" t="s">
        <v>378</v>
      </c>
      <c r="W4" s="4" t="s">
        <v>379</v>
      </c>
      <c r="X4" s="4" t="s">
        <v>380</v>
      </c>
      <c r="Y4" s="332" t="s">
        <v>381</v>
      </c>
    </row>
    <row r="5" spans="3:47" ht="21" customHeight="1" x14ac:dyDescent="0.35">
      <c r="C5" s="297"/>
      <c r="D5" s="623" t="s">
        <v>400</v>
      </c>
      <c r="E5" s="624"/>
      <c r="F5" s="624"/>
      <c r="G5" s="624"/>
      <c r="H5" s="624"/>
      <c r="I5" s="624"/>
      <c r="J5" s="624"/>
      <c r="K5" s="624"/>
      <c r="L5" s="624"/>
      <c r="M5" s="624"/>
      <c r="N5" s="625"/>
      <c r="O5" s="624" t="s">
        <v>399</v>
      </c>
      <c r="P5" s="624"/>
      <c r="Q5" s="624"/>
      <c r="R5" s="624"/>
      <c r="S5" s="624"/>
      <c r="T5" s="624"/>
      <c r="U5" s="624"/>
      <c r="V5" s="624"/>
      <c r="W5" s="624"/>
      <c r="X5" s="624"/>
      <c r="Y5" s="626"/>
    </row>
    <row r="6" spans="3:47" ht="73.5" customHeight="1" x14ac:dyDescent="0.35">
      <c r="C6" s="297"/>
      <c r="D6" s="621" t="s">
        <v>398</v>
      </c>
      <c r="E6" s="621" t="s">
        <v>397</v>
      </c>
      <c r="F6" s="329" t="s">
        <v>34</v>
      </c>
      <c r="G6" s="329" t="s">
        <v>96</v>
      </c>
      <c r="H6" s="329" t="s">
        <v>46</v>
      </c>
      <c r="I6" s="331" t="s">
        <v>52</v>
      </c>
      <c r="J6" s="329" t="s">
        <v>109</v>
      </c>
      <c r="K6" s="331" t="s">
        <v>54</v>
      </c>
      <c r="L6" s="621" t="s">
        <v>396</v>
      </c>
      <c r="M6" s="331" t="s">
        <v>63</v>
      </c>
      <c r="N6" s="330" t="s">
        <v>395</v>
      </c>
      <c r="O6" s="621" t="s">
        <v>398</v>
      </c>
      <c r="P6" s="621" t="s">
        <v>397</v>
      </c>
      <c r="Q6" s="329" t="s">
        <v>34</v>
      </c>
      <c r="R6" s="329" t="s">
        <v>96</v>
      </c>
      <c r="S6" s="329" t="s">
        <v>46</v>
      </c>
      <c r="T6" s="331" t="s">
        <v>52</v>
      </c>
      <c r="U6" s="329" t="s">
        <v>109</v>
      </c>
      <c r="V6" s="331" t="s">
        <v>54</v>
      </c>
      <c r="W6" s="628" t="s">
        <v>396</v>
      </c>
      <c r="X6" s="331" t="s">
        <v>63</v>
      </c>
      <c r="Y6" s="328" t="s">
        <v>395</v>
      </c>
      <c r="Z6" s="266"/>
      <c r="AA6" s="629" t="s">
        <v>394</v>
      </c>
      <c r="AB6" s="629"/>
      <c r="AC6" s="629"/>
      <c r="AD6" s="629"/>
      <c r="AE6" s="629"/>
      <c r="AF6" s="629"/>
      <c r="AG6" s="629"/>
      <c r="AH6" s="629"/>
      <c r="AI6" s="629"/>
      <c r="AJ6" s="629"/>
      <c r="AK6" s="629"/>
      <c r="AL6" s="629"/>
      <c r="AM6" s="629"/>
      <c r="AN6" s="629"/>
      <c r="AO6" s="629"/>
      <c r="AP6" s="629"/>
      <c r="AQ6" s="629"/>
      <c r="AR6" s="629"/>
      <c r="AS6" s="629"/>
      <c r="AT6" s="629"/>
      <c r="AU6" s="629"/>
    </row>
    <row r="7" spans="3:47" ht="16.5" customHeight="1" x14ac:dyDescent="0.35">
      <c r="C7" s="297"/>
      <c r="D7" s="621"/>
      <c r="E7" s="621"/>
      <c r="F7" s="329"/>
      <c r="G7" s="329"/>
      <c r="H7" s="329"/>
      <c r="I7" s="329"/>
      <c r="J7" s="329"/>
      <c r="K7" s="329"/>
      <c r="L7" s="622"/>
      <c r="M7" s="329"/>
      <c r="N7" s="330"/>
      <c r="O7" s="621"/>
      <c r="P7" s="621"/>
      <c r="Q7" s="329"/>
      <c r="R7" s="329"/>
      <c r="S7" s="329"/>
      <c r="T7" s="329"/>
      <c r="U7" s="329"/>
      <c r="V7" s="329"/>
      <c r="W7" s="622"/>
      <c r="X7" s="329"/>
      <c r="Y7" s="328"/>
      <c r="Z7" s="266"/>
      <c r="AA7" s="630" t="s">
        <v>440</v>
      </c>
      <c r="AB7" s="630"/>
      <c r="AC7" s="630"/>
      <c r="AD7" s="630"/>
      <c r="AE7" s="630"/>
      <c r="AG7" s="630" t="s">
        <v>441</v>
      </c>
      <c r="AH7" s="630"/>
      <c r="AI7" s="630"/>
      <c r="AJ7" s="630"/>
      <c r="AK7" s="630"/>
    </row>
    <row r="8" spans="3:47" ht="40" customHeight="1" x14ac:dyDescent="0.35">
      <c r="C8" s="327" t="s">
        <v>31</v>
      </c>
      <c r="D8" s="325">
        <f t="shared" ref="D8:D39" si="0">+E8+L8</f>
        <v>63846.753186542031</v>
      </c>
      <c r="E8" s="325">
        <f t="shared" ref="E8:K8" si="1">SUMIF(E9:E43,"&gt;-999999999")-(E11+E23+E29+E31+E40)</f>
        <v>46408.485475468624</v>
      </c>
      <c r="F8" s="324">
        <f t="shared" si="1"/>
        <v>5418.6600071215771</v>
      </c>
      <c r="G8" s="324">
        <f t="shared" si="1"/>
        <v>48.572848506283613</v>
      </c>
      <c r="H8" s="324">
        <f t="shared" si="1"/>
        <v>2889.3114904654831</v>
      </c>
      <c r="I8" s="324">
        <f t="shared" si="1"/>
        <v>9003.2569315276069</v>
      </c>
      <c r="J8" s="324">
        <f t="shared" si="1"/>
        <v>668.23302322868585</v>
      </c>
      <c r="K8" s="324">
        <f t="shared" si="1"/>
        <v>28380.451174618978</v>
      </c>
      <c r="L8" s="325">
        <f>SUMIF(L9:L43,"&gt;-999999999")-(L11+L23+L29+L31)</f>
        <v>17438.267711073408</v>
      </c>
      <c r="M8" s="324">
        <f>SUMIF(M9:M43,"&gt;-999999999")-(M11+M23+M29+M31)</f>
        <v>4319.6605367188895</v>
      </c>
      <c r="N8" s="326">
        <f>SUMIF(N9:N43,"&gt;-999999999")-(N11+N23+N29+N31)</f>
        <v>13118.607174354529</v>
      </c>
      <c r="O8" s="325">
        <f t="shared" ref="O8:O39" si="2">+P8+W8</f>
        <v>552323.45401214832</v>
      </c>
      <c r="P8" s="325">
        <f t="shared" ref="P8:V8" si="3">SUMIF(P9:P43,"&gt;-999999999")-(P11+P23+P29+P31)-P40</f>
        <v>308115.2738602272</v>
      </c>
      <c r="Q8" s="324">
        <f t="shared" si="3"/>
        <v>41046.490552713338</v>
      </c>
      <c r="R8" s="324">
        <f t="shared" si="3"/>
        <v>1454.1981343465843</v>
      </c>
      <c r="S8" s="324">
        <f t="shared" si="3"/>
        <v>101443.4082131218</v>
      </c>
      <c r="T8" s="324">
        <f t="shared" si="3"/>
        <v>73694.760791967419</v>
      </c>
      <c r="U8" s="324">
        <f t="shared" si="3"/>
        <v>4400.6336413478411</v>
      </c>
      <c r="V8" s="324">
        <f t="shared" si="3"/>
        <v>86075.782526730167</v>
      </c>
      <c r="W8" s="325">
        <f>SUMIF(W9:W43,"&gt;-999999999")-(W11+W23+W29+W31)</f>
        <v>244208.18015192106</v>
      </c>
      <c r="X8" s="324">
        <f>SUMIF(X9:X43,"&gt;-999999999")-(X11+X23+X29+X31)</f>
        <v>49807.532289168717</v>
      </c>
      <c r="Y8" s="323">
        <f>SUMIF(Y9:Y43,"&gt;-999999999")-(Y11+Y23+Y29+Y31)</f>
        <v>194400.64786275226</v>
      </c>
      <c r="Z8" s="266"/>
      <c r="AA8" s="49"/>
      <c r="AB8" s="627" t="s">
        <v>393</v>
      </c>
      <c r="AC8" s="627"/>
      <c r="AD8" s="627" t="s">
        <v>392</v>
      </c>
      <c r="AE8" s="627"/>
      <c r="AF8" s="322"/>
      <c r="AG8" s="49"/>
      <c r="AH8" s="627" t="s">
        <v>393</v>
      </c>
      <c r="AI8" s="627"/>
      <c r="AJ8" s="627" t="s">
        <v>392</v>
      </c>
      <c r="AK8" s="627"/>
      <c r="AL8" s="322"/>
      <c r="AM8" s="49"/>
      <c r="AN8" s="627" t="s">
        <v>393</v>
      </c>
      <c r="AO8" s="627"/>
      <c r="AP8" s="627" t="s">
        <v>392</v>
      </c>
      <c r="AQ8" s="627"/>
      <c r="AR8" s="627" t="s">
        <v>391</v>
      </c>
      <c r="AS8" s="627"/>
      <c r="AT8" s="627" t="s">
        <v>390</v>
      </c>
      <c r="AU8" s="627"/>
    </row>
    <row r="9" spans="3:47" x14ac:dyDescent="0.35">
      <c r="C9" s="311" t="s">
        <v>32</v>
      </c>
      <c r="D9" s="308">
        <f t="shared" si="0"/>
        <v>2867.2626646956073</v>
      </c>
      <c r="E9" s="308">
        <f t="shared" ref="E9:E43" si="4">SUM(F9:K9)</f>
        <v>1514.1509433962265</v>
      </c>
      <c r="F9" s="281">
        <f>HLOOKUP($C9,'[2]Interest shifted to EU'!$L$2:$AT$8,F$2,0)/E106</f>
        <v>101.06132075471699</v>
      </c>
      <c r="G9" s="281">
        <f>HLOOKUP($C9,'[2]Interest shifted to EU'!$L$2:$AT$8,G$2,0)/E106</f>
        <v>0</v>
      </c>
      <c r="H9" s="281">
        <f>HLOOKUP($C9,'[2]Interest shifted to EU'!$L$2:$AT$8,H$2,0)/E106</f>
        <v>0</v>
      </c>
      <c r="I9" s="281">
        <f>HLOOKUP($C9,'[2]Interest shifted to EU'!$L$2:$AT$8,I$2,0)/E106</f>
        <v>214.74056603773585</v>
      </c>
      <c r="J9" s="281">
        <f>HLOOKUP($C9,'[2]Interest shifted to EU'!$L$2:$AT$8,J$2,0)/E106</f>
        <v>29.716981132075471</v>
      </c>
      <c r="K9" s="281">
        <f>HLOOKUP($C9,'[2]Interest shifted to EU'!$L$2:$AT$8,K$2,0)/E106</f>
        <v>1168.632075471698</v>
      </c>
      <c r="L9" s="308">
        <f t="shared" ref="L9:L39" si="5">SUM(M9:N9)</f>
        <v>1353.1117212993809</v>
      </c>
      <c r="M9" s="290">
        <f>AC9*'[2]Non-EU tax havens'!$K$8</f>
        <v>192.76770981982853</v>
      </c>
      <c r="N9" s="295">
        <f>AC9*'[2]Non-EU tax havens'!$K$13</f>
        <v>1160.3440114795524</v>
      </c>
      <c r="O9" s="308">
        <f t="shared" si="2"/>
        <v>24428.39827989175</v>
      </c>
      <c r="P9" s="308">
        <f t="shared" ref="P9:P43" si="6">SUM(Q9:V9)</f>
        <v>6646.933962264151</v>
      </c>
      <c r="Q9" s="281">
        <f>HLOOKUP($C9,'[2]Non EU income shifted to EU'!$B$2:$AI$9,Q$2+1,0)/E106</f>
        <v>358.49056603773585</v>
      </c>
      <c r="R9" s="281">
        <f>HLOOKUP($C9,'[2]Non EU income shifted to EU'!$B$2:$AI$9,R$2+1,0)/E106</f>
        <v>1.179245283018868</v>
      </c>
      <c r="S9" s="281">
        <f>HLOOKUP($C9,'[2]Non EU income shifted to EU'!$B$2:$AI$9,S$2+1,0)/E106</f>
        <v>3696.6981132075475</v>
      </c>
      <c r="T9" s="281">
        <f>HLOOKUP($C9,'[2]Non EU income shifted to EU'!$B$2:$AI$9,T$2+1,0)/E106</f>
        <v>451.65094339622641</v>
      </c>
      <c r="U9" s="281">
        <f>HLOOKUP($C9,'[2]Non EU income shifted to EU'!$B$2:$AI$9,U$2+1,0)/E106</f>
        <v>55.778301886792448</v>
      </c>
      <c r="V9" s="281">
        <f>HLOOKUP($C9,'[2]Non EU income shifted to EU'!$B$2:$AI$9,V$2+1,0)/E106</f>
        <v>2083.1367924528304</v>
      </c>
      <c r="W9" s="308">
        <f t="shared" ref="W9:W39" si="7">SUM(X9:Y9)</f>
        <v>17781.464317627597</v>
      </c>
      <c r="X9" s="290">
        <f>IFERROR(IFERROR(VLOOKUP(C9,'[2]Swiss pivot'!$E$3:$H$54,3,0),VLOOKUP($C9,'[2]Breakdown non-EU havens'!$F$4:$H$31,3,0)/$E$106),AK9*'[2]Non-EU tax havens'!$I$8)</f>
        <v>1106.588233199491</v>
      </c>
      <c r="Y9" s="289">
        <f>AE9*'[2]Non-EU tax havens'!$I$13</f>
        <v>16674.876084428106</v>
      </c>
      <c r="Z9" s="266"/>
      <c r="AA9" s="49">
        <f>+'[2]CDIS Table-4'!O6</f>
        <v>1.9724959247258356E-2</v>
      </c>
      <c r="AB9" s="52">
        <f>+AA9</f>
        <v>1.9724959247258356E-2</v>
      </c>
      <c r="AC9" s="52">
        <f t="shared" ref="AC9:AC30" si="8">+AB9/$AB$102</f>
        <v>3.927462406173924E-2</v>
      </c>
      <c r="AD9" s="52">
        <f t="shared" ref="AD9:AD30" si="9">+AB9</f>
        <v>1.9724959247258356E-2</v>
      </c>
      <c r="AE9" s="52">
        <f t="shared" ref="AE9:AE30" si="10">+AD9/$AD$102</f>
        <v>4.9878726150206214E-2</v>
      </c>
      <c r="AF9" s="52"/>
      <c r="AG9" s="49">
        <f>+AA9</f>
        <v>1.9724959247258356E-2</v>
      </c>
      <c r="AH9" s="52">
        <f>+AG9</f>
        <v>1.9724959247258356E-2</v>
      </c>
      <c r="AI9" s="52">
        <f t="shared" ref="AI9:AI30" si="11">+AH9/$AB$102</f>
        <v>3.927462406173924E-2</v>
      </c>
      <c r="AJ9" s="52"/>
      <c r="AK9" s="52">
        <f t="shared" ref="AK9:AK40" si="12">+AJ9/$AJ$102</f>
        <v>0</v>
      </c>
      <c r="AL9" s="52"/>
      <c r="AM9" s="49">
        <f>+'[2]CDIS Table-4'!U6</f>
        <v>0</v>
      </c>
      <c r="AN9" s="52">
        <f>+AM9</f>
        <v>0</v>
      </c>
      <c r="AO9" s="52">
        <f t="shared" ref="AO9:AO30" si="13">+AN9/$AB$102</f>
        <v>0</v>
      </c>
      <c r="AP9" s="52">
        <f t="shared" ref="AP9:AP30" si="14">+AN9</f>
        <v>0</v>
      </c>
      <c r="AQ9" s="52">
        <f t="shared" ref="AQ9:AQ30" si="15">+AP9/$AD$102</f>
        <v>0</v>
      </c>
      <c r="AR9" s="52"/>
      <c r="AS9" s="52">
        <f t="shared" ref="AS9:AS40" si="16">+AR9/$AR$102</f>
        <v>0</v>
      </c>
      <c r="AT9" s="52"/>
      <c r="AU9" s="52">
        <f t="shared" ref="AU9:AU21" si="17">+AT9/$AB$102</f>
        <v>0</v>
      </c>
    </row>
    <row r="10" spans="3:47" x14ac:dyDescent="0.35">
      <c r="C10" s="311" t="s">
        <v>33</v>
      </c>
      <c r="D10" s="308">
        <f t="shared" si="0"/>
        <v>412.14622641509436</v>
      </c>
      <c r="E10" s="308">
        <f t="shared" si="4"/>
        <v>352.71226415094338</v>
      </c>
      <c r="F10" s="281">
        <f>VLOOKUP($C10,'[2]Breakdown EU havens'!$S$4:$Y$31,F$2,0)/E106</f>
        <v>46.698113207547173</v>
      </c>
      <c r="G10" s="281">
        <f>VLOOKUP($C10,'[2]Breakdown EU havens'!$S$4:$Y$31,G$2,0)/E106</f>
        <v>0</v>
      </c>
      <c r="H10" s="281">
        <f>VLOOKUP($C10,'[2]Breakdown EU havens'!$S$4:$Y$31,H$2,0)/E106</f>
        <v>86.202830188679243</v>
      </c>
      <c r="I10" s="281">
        <f>VLOOKUP($C10,'[2]Breakdown EU havens'!$S$4:$Y$31,I$2,0)/E106</f>
        <v>115.68396226415094</v>
      </c>
      <c r="J10" s="281">
        <f>VLOOKUP($C10,'[2]Breakdown EU havens'!$S$4:$Y$31,J$2,0)/E106</f>
        <v>0.35377358490566035</v>
      </c>
      <c r="K10" s="281">
        <f>VLOOKUP($C10,'[2]Breakdown EU havens'!$S$4:$Y$31,K$2,0)/E106</f>
        <v>103.77358490566039</v>
      </c>
      <c r="L10" s="308">
        <f t="shared" si="5"/>
        <v>59.433962264150949</v>
      </c>
      <c r="M10" s="290">
        <f>VLOOKUP($C10,'[2]Breakdown non-EU havens'!$K$4:$M$31,3,0)/E106</f>
        <v>57.665094339622648</v>
      </c>
      <c r="N10" s="295">
        <f>VLOOKUP($C10,'[2]Breakdown non-EU havens'!$K$4:$M$31,2,0)/E106</f>
        <v>1.7688679245283019</v>
      </c>
      <c r="O10" s="308">
        <f t="shared" si="2"/>
        <v>4513.2919394526889</v>
      </c>
      <c r="P10" s="308">
        <f t="shared" si="6"/>
        <v>3222.9952830188681</v>
      </c>
      <c r="Q10" s="281">
        <f>VLOOKUP($C10,'[2]Breakdown EU havens'!$J$4:$P$31,Q$2,0)/E106</f>
        <v>621.46226415094338</v>
      </c>
      <c r="R10" s="281">
        <f>VLOOKUP($C10,'[2]Breakdown EU havens'!$J$4:$P$31,R$2,0)/E106</f>
        <v>29.481132075471699</v>
      </c>
      <c r="S10" s="281">
        <f>VLOOKUP($C10,'[2]Breakdown EU havens'!$J$4:$P$31,S$2,0)/E106</f>
        <v>889.15094339622647</v>
      </c>
      <c r="T10" s="281">
        <f>VLOOKUP($C10,'[2]Breakdown EU havens'!$J$4:$P$31,T$2,0)/E106</f>
        <v>643.86792452830196</v>
      </c>
      <c r="U10" s="281">
        <f>VLOOKUP($C10,'[2]Breakdown EU havens'!$J$4:$P$31,U$2,0)/E106</f>
        <v>132.0754716981132</v>
      </c>
      <c r="V10" s="281">
        <f>VLOOKUP($C10,'[2]Breakdown EU havens'!$J$4:$P$31,V$2,0)/E106</f>
        <v>906.95754716981139</v>
      </c>
      <c r="W10" s="308">
        <f t="shared" si="7"/>
        <v>1290.2966564338203</v>
      </c>
      <c r="X10" s="290">
        <f>IFERROR(IFERROR(VLOOKUP(C10,'[2]Swiss pivot'!$E$3:$H$54,3,0),VLOOKUP($C10,'[2]Breakdown non-EU havens'!$F$4:$H$31,3,0)/$E$106),AK10*'[2]Non-EU tax havens'!$I$8)</f>
        <v>819.77778850929201</v>
      </c>
      <c r="Y10" s="289">
        <f>VLOOKUP($C10,'[2]Breakdown non-EU havens'!$F$4:$H$31,2,0)/E106</f>
        <v>470.51886792452831</v>
      </c>
      <c r="Z10" s="266"/>
      <c r="AA10" s="49">
        <f>+'[2]CDIS Table-4'!O7</f>
        <v>7.5183978411835217E-3</v>
      </c>
      <c r="AB10" s="52"/>
      <c r="AC10" s="52">
        <f t="shared" si="8"/>
        <v>0</v>
      </c>
      <c r="AD10" s="52">
        <f t="shared" si="9"/>
        <v>0</v>
      </c>
      <c r="AE10" s="52">
        <f t="shared" si="10"/>
        <v>0</v>
      </c>
      <c r="AF10" s="52"/>
      <c r="AG10" s="49">
        <f t="shared" ref="AG10:AG43" si="18">+AA10</f>
        <v>7.5183978411835217E-3</v>
      </c>
      <c r="AH10" s="52"/>
      <c r="AI10" s="52">
        <f t="shared" si="11"/>
        <v>0</v>
      </c>
      <c r="AJ10" s="52"/>
      <c r="AK10" s="52">
        <f t="shared" si="12"/>
        <v>0</v>
      </c>
      <c r="AL10" s="52"/>
      <c r="AM10" s="49">
        <f>+'[2]CDIS Table-4'!U7</f>
        <v>0</v>
      </c>
      <c r="AN10" s="52"/>
      <c r="AO10" s="52">
        <f t="shared" si="13"/>
        <v>0</v>
      </c>
      <c r="AP10" s="52">
        <f t="shared" si="14"/>
        <v>0</v>
      </c>
      <c r="AQ10" s="52">
        <f t="shared" si="15"/>
        <v>0</v>
      </c>
      <c r="AR10" s="52"/>
      <c r="AS10" s="52">
        <f t="shared" si="16"/>
        <v>0</v>
      </c>
      <c r="AT10" s="52"/>
      <c r="AU10" s="52">
        <f t="shared" si="17"/>
        <v>0</v>
      </c>
    </row>
    <row r="11" spans="3:47" x14ac:dyDescent="0.35">
      <c r="C11" s="311" t="s">
        <v>34</v>
      </c>
      <c r="D11" s="308">
        <f t="shared" si="0"/>
        <v>3161.9103773584902</v>
      </c>
      <c r="E11" s="308">
        <f t="shared" si="4"/>
        <v>2391.9811320754716</v>
      </c>
      <c r="F11" s="281">
        <f>VLOOKUP($C11,'[2]Breakdown EU havens'!$S$4:$Y$31,F$2,0)/E106</f>
        <v>0</v>
      </c>
      <c r="G11" s="281">
        <f>VLOOKUP($C11,'[2]Breakdown EU havens'!$S$4:$Y$31,G$2,0)/E106</f>
        <v>0</v>
      </c>
      <c r="H11" s="281">
        <f>VLOOKUP($C11,'[2]Breakdown EU havens'!$S$4:$Y$31,H$2,0)/E106</f>
        <v>532.19339622641508</v>
      </c>
      <c r="I11" s="281">
        <f>VLOOKUP($C11,'[2]Breakdown EU havens'!$S$4:$Y$31,I$2,0)/E106</f>
        <v>1250.1179245283017</v>
      </c>
      <c r="J11" s="281">
        <f>VLOOKUP($C11,'[2]Breakdown EU havens'!$S$4:$Y$31,J$2,0)/E106</f>
        <v>0</v>
      </c>
      <c r="K11" s="281">
        <f>VLOOKUP($C11,'[2]Breakdown EU havens'!$S$4:$Y$31,K$2,0)/E106</f>
        <v>609.66981132075477</v>
      </c>
      <c r="L11" s="308">
        <f t="shared" si="5"/>
        <v>769.92924528301887</v>
      </c>
      <c r="M11" s="290">
        <f>VLOOKUP($C11,'[2]Breakdown non-EU havens'!$K$4:$M$31,3,0)/E106</f>
        <v>755.07075471698113</v>
      </c>
      <c r="N11" s="295">
        <f>VLOOKUP($C11,'[2]Breakdown non-EU havens'!$K$4:$M$31,2,0)/E106</f>
        <v>14.858490566037736</v>
      </c>
      <c r="O11" s="308">
        <f t="shared" si="2"/>
        <v>15936.323371747605</v>
      </c>
      <c r="P11" s="308">
        <f t="shared" si="6"/>
        <v>13506.014150943396</v>
      </c>
      <c r="Q11" s="281">
        <f>VLOOKUP($C11,'[2]Breakdown EU havens'!$J$4:$P$31,Q$2,0)/E106</f>
        <v>0</v>
      </c>
      <c r="R11" s="281">
        <f>VLOOKUP($C11,'[2]Breakdown EU havens'!$J$4:$P$31,R$2,0)/E106</f>
        <v>15.566037735849056</v>
      </c>
      <c r="S11" s="281">
        <f>VLOOKUP($C11,'[2]Breakdown EU havens'!$J$4:$P$31,S$2,0)/E106</f>
        <v>2516.5094339622642</v>
      </c>
      <c r="T11" s="281">
        <f>VLOOKUP($C11,'[2]Breakdown EU havens'!$J$4:$P$31,T$2,0)/E106</f>
        <v>4563.6792452830186</v>
      </c>
      <c r="U11" s="281">
        <f>VLOOKUP($C11,'[2]Breakdown EU havens'!$J$4:$P$31,U$2,0)/E106</f>
        <v>37.735849056603776</v>
      </c>
      <c r="V11" s="281">
        <f>VLOOKUP($C11,'[2]Breakdown EU havens'!$J$4:$P$31,V$2,0)/E106</f>
        <v>6372.5235849056598</v>
      </c>
      <c r="W11" s="308">
        <f t="shared" si="7"/>
        <v>2430.309220804209</v>
      </c>
      <c r="X11" s="290">
        <f>IFERROR(IFERROR(VLOOKUP(C11,'[2]Swiss pivot'!$E$3:$H$54,3,0),VLOOKUP($C11,'[2]Breakdown non-EU havens'!$F$4:$H$31,3,0)/$E$106),AK11*'[2]Non-EU tax havens'!$I$8)</f>
        <v>1108.3752585400582</v>
      </c>
      <c r="Y11" s="289">
        <f>VLOOKUP($C11,'[2]Breakdown non-EU havens'!$F$4:$H$31,2,0)/E106</f>
        <v>1321.933962264151</v>
      </c>
      <c r="Z11" s="266"/>
      <c r="AA11" s="49">
        <f>+'[2]CDIS Table-4'!O8</f>
        <v>1.6851091979899344E-2</v>
      </c>
      <c r="AB11" s="52"/>
      <c r="AC11" s="52">
        <f t="shared" si="8"/>
        <v>0</v>
      </c>
      <c r="AD11" s="52">
        <f t="shared" si="9"/>
        <v>0</v>
      </c>
      <c r="AE11" s="52">
        <f t="shared" si="10"/>
        <v>0</v>
      </c>
      <c r="AF11" s="52"/>
      <c r="AG11" s="49">
        <f t="shared" si="18"/>
        <v>1.6851091979899344E-2</v>
      </c>
      <c r="AH11" s="52"/>
      <c r="AI11" s="52">
        <f t="shared" si="11"/>
        <v>0</v>
      </c>
      <c r="AJ11" s="52"/>
      <c r="AK11" s="52">
        <f t="shared" si="12"/>
        <v>0</v>
      </c>
      <c r="AL11" s="52"/>
      <c r="AM11" s="49">
        <f>+'[2]CDIS Table-4'!U8</f>
        <v>0</v>
      </c>
      <c r="AN11" s="52"/>
      <c r="AO11" s="52">
        <f t="shared" si="13"/>
        <v>0</v>
      </c>
      <c r="AP11" s="52">
        <f t="shared" si="14"/>
        <v>0</v>
      </c>
      <c r="AQ11" s="52">
        <f t="shared" si="15"/>
        <v>0</v>
      </c>
      <c r="AR11" s="52"/>
      <c r="AS11" s="52">
        <f t="shared" si="16"/>
        <v>0</v>
      </c>
      <c r="AT11" s="52"/>
      <c r="AU11" s="52">
        <f t="shared" si="17"/>
        <v>0</v>
      </c>
    </row>
    <row r="12" spans="3:47" x14ac:dyDescent="0.35">
      <c r="C12" s="311" t="s">
        <v>35</v>
      </c>
      <c r="D12" s="308">
        <f t="shared" si="0"/>
        <v>2291.3393674451245</v>
      </c>
      <c r="E12" s="308">
        <f t="shared" si="4"/>
        <v>1013.679245283019</v>
      </c>
      <c r="F12" s="281">
        <f>HLOOKUP($C12,'[2]Interest shifted to EU'!$L$2:$AT$8,F$2,0)/E106</f>
        <v>96.108490566037744</v>
      </c>
      <c r="G12" s="281">
        <f>HLOOKUP($C12,'[2]Interest shifted to EU'!$L$2:$AT$8,G$2,0)/E106</f>
        <v>0</v>
      </c>
      <c r="H12" s="281">
        <f>HLOOKUP($C12,'[2]Interest shifted to EU'!$L$2:$AT$8,H$2,0)/E106</f>
        <v>-23.584905660377359</v>
      </c>
      <c r="I12" s="281">
        <f>HLOOKUP($C12,'[2]Interest shifted to EU'!$L$2:$AT$8,I$2,0)/E106</f>
        <v>0</v>
      </c>
      <c r="J12" s="281">
        <f>HLOOKUP($C12,'[2]Interest shifted to EU'!$L$2:$AT$8,J$2,0)/E106</f>
        <v>199.76415094339623</v>
      </c>
      <c r="K12" s="281">
        <f>HLOOKUP($C12,'[2]Interest shifted to EU'!$L$2:$AT$8,K$2,0)/E106</f>
        <v>741.39150943396237</v>
      </c>
      <c r="L12" s="308">
        <f t="shared" si="5"/>
        <v>1277.6601221621054</v>
      </c>
      <c r="M12" s="290">
        <f>AC12*'[2]Non-EU tax havens'!$K$8</f>
        <v>182.01868463662396</v>
      </c>
      <c r="N12" s="295">
        <f>AC12*'[2]Non-EU tax havens'!$K$13</f>
        <v>1095.6414375254815</v>
      </c>
      <c r="O12" s="308">
        <f t="shared" si="2"/>
        <v>21076.808980881491</v>
      </c>
      <c r="P12" s="308">
        <f t="shared" si="6"/>
        <v>4129.3632075471705</v>
      </c>
      <c r="Q12" s="281">
        <f>HLOOKUP($C12,'[2]Non EU income shifted to EU'!$B$2:$AI$9,Q$2+1,0)/E106</f>
        <v>343.75</v>
      </c>
      <c r="R12" s="281">
        <f>HLOOKUP($C12,'[2]Non EU income shifted to EU'!$B$2:$AI$9,R$2+1,0)/E106</f>
        <v>1.179245283018868</v>
      </c>
      <c r="S12" s="281">
        <f>HLOOKUP($C12,'[2]Non EU income shifted to EU'!$B$2:$AI$9,S$2+1,0)/E106</f>
        <v>1094.3396226415095</v>
      </c>
      <c r="T12" s="281">
        <f>HLOOKUP($C12,'[2]Non EU income shifted to EU'!$B$2:$AI$9,T$2+1,0)/E106</f>
        <v>530.66037735849056</v>
      </c>
      <c r="U12" s="281">
        <f>HLOOKUP($C12,'[2]Non EU income shifted to EU'!$B$2:$AI$9,U$2+1,0)/E106</f>
        <v>172.52358490566039</v>
      </c>
      <c r="V12" s="281">
        <f>HLOOKUP($C12,'[2]Non EU income shifted to EU'!$B$2:$AI$9,V$2+1,0)/E106</f>
        <v>1986.9103773584907</v>
      </c>
      <c r="W12" s="308">
        <f t="shared" si="7"/>
        <v>16947.445773334319</v>
      </c>
      <c r="X12" s="290">
        <f>IFERROR(IFERROR(VLOOKUP(C12,'[2]Swiss pivot'!$E$3:$H$54,3,0),VLOOKUP($C12,'[2]Breakdown non-EU havens'!$F$4:$H$31,3,0)/$E$106),AK12*'[2]Non-EU tax havens'!$I$8)</f>
        <v>1202.3865297342736</v>
      </c>
      <c r="Y12" s="289">
        <f>AE12*'[2]Non-EU tax havens'!$I$13</f>
        <v>15745.059243600046</v>
      </c>
      <c r="Z12" s="266"/>
      <c r="AA12" s="49">
        <f>+'[2]CDIS Table-4'!O9</f>
        <v>1.8625065059146493E-2</v>
      </c>
      <c r="AB12" s="52">
        <f>+AA12</f>
        <v>1.8625065059146493E-2</v>
      </c>
      <c r="AC12" s="52">
        <f t="shared" si="8"/>
        <v>3.7084610373787533E-2</v>
      </c>
      <c r="AD12" s="52">
        <f t="shared" si="9"/>
        <v>1.8625065059146493E-2</v>
      </c>
      <c r="AE12" s="52">
        <f t="shared" si="10"/>
        <v>4.7097411354300595E-2</v>
      </c>
      <c r="AF12" s="52"/>
      <c r="AG12" s="49">
        <f t="shared" si="18"/>
        <v>1.8625065059146493E-2</v>
      </c>
      <c r="AH12" s="52">
        <f>+AG12</f>
        <v>1.8625065059146493E-2</v>
      </c>
      <c r="AI12" s="52">
        <f t="shared" si="11"/>
        <v>3.7084610373787533E-2</v>
      </c>
      <c r="AJ12" s="52"/>
      <c r="AK12" s="52">
        <f t="shared" si="12"/>
        <v>0</v>
      </c>
      <c r="AL12" s="52"/>
      <c r="AM12" s="49">
        <f>+'[2]CDIS Table-4'!U9</f>
        <v>0</v>
      </c>
      <c r="AN12" s="52">
        <f>+AM12</f>
        <v>0</v>
      </c>
      <c r="AO12" s="52">
        <f t="shared" si="13"/>
        <v>0</v>
      </c>
      <c r="AP12" s="52">
        <f t="shared" si="14"/>
        <v>0</v>
      </c>
      <c r="AQ12" s="52">
        <f t="shared" si="15"/>
        <v>0</v>
      </c>
      <c r="AR12" s="52"/>
      <c r="AS12" s="52">
        <f t="shared" si="16"/>
        <v>0</v>
      </c>
      <c r="AT12" s="52"/>
      <c r="AU12" s="52">
        <f t="shared" si="17"/>
        <v>0</v>
      </c>
    </row>
    <row r="13" spans="3:47" x14ac:dyDescent="0.35">
      <c r="C13" s="311" t="s">
        <v>36</v>
      </c>
      <c r="D13" s="308">
        <f t="shared" si="0"/>
        <v>905.94653543049571</v>
      </c>
      <c r="E13" s="308">
        <f t="shared" si="4"/>
        <v>421.34433962264154</v>
      </c>
      <c r="F13" s="281">
        <f>HLOOKUP($C13,'[2]Interest shifted to EU'!$L$2:$AT$8,F$2,0)/E106</f>
        <v>33.136792452830193</v>
      </c>
      <c r="G13" s="281">
        <f>HLOOKUP($C13,'[2]Interest shifted to EU'!$L$2:$AT$8,G$2,0)/E106</f>
        <v>0</v>
      </c>
      <c r="H13" s="281">
        <f>HLOOKUP($C13,'[2]Interest shifted to EU'!$L$2:$AT$8,H$2,0)/E106</f>
        <v>0</v>
      </c>
      <c r="I13" s="281">
        <f>HLOOKUP($C13,'[2]Interest shifted to EU'!$L$2:$AT$8,I$2,0)/E106</f>
        <v>40.566037735849058</v>
      </c>
      <c r="J13" s="281">
        <f>HLOOKUP($C13,'[2]Interest shifted to EU'!$L$2:$AT$8,J$2,0)/E106</f>
        <v>3.3018867924528301</v>
      </c>
      <c r="K13" s="281">
        <f>HLOOKUP($C13,'[2]Interest shifted to EU'!$L$2:$AT$8,K$2,0)/E106</f>
        <v>344.33962264150944</v>
      </c>
      <c r="L13" s="308">
        <f t="shared" si="5"/>
        <v>484.60219580785417</v>
      </c>
      <c r="M13" s="290">
        <f>AC13*'[2]Non-EU tax havens'!$K$8</f>
        <v>69.037651502888437</v>
      </c>
      <c r="N13" s="295">
        <f>AC13*'[2]Non-EU tax havens'!$K$13</f>
        <v>415.56454430496575</v>
      </c>
      <c r="O13" s="308">
        <f t="shared" si="2"/>
        <v>7052.8408264820146</v>
      </c>
      <c r="P13" s="308">
        <f t="shared" si="6"/>
        <v>862.5</v>
      </c>
      <c r="Q13" s="281">
        <f>HLOOKUP($C13,'[2]Non EU income shifted to EU'!$B$2:$AI$9,Q$2+1,0)/E106</f>
        <v>76.650943396226424</v>
      </c>
      <c r="R13" s="281">
        <f>HLOOKUP($C13,'[2]Non EU income shifted to EU'!$B$2:$AI$9,R$2+1,0)/E106</f>
        <v>0</v>
      </c>
      <c r="S13" s="281">
        <f>HLOOKUP($C13,'[2]Non EU income shifted to EU'!$B$2:$AI$9,S$2+1,0)/E106</f>
        <v>282.90094339622641</v>
      </c>
      <c r="T13" s="281">
        <f>HLOOKUP($C13,'[2]Non EU income shifted to EU'!$B$2:$AI$9,T$2+1,0)/E106</f>
        <v>87.264150943396231</v>
      </c>
      <c r="U13" s="281">
        <f>HLOOKUP($C13,'[2]Non EU income shifted to EU'!$B$2:$AI$9,U$2+1,0)/E106</f>
        <v>0</v>
      </c>
      <c r="V13" s="281">
        <f>HLOOKUP($C13,'[2]Non EU income shifted to EU'!$B$2:$AI$9,V$2+1,0)/E106</f>
        <v>415.68396226415098</v>
      </c>
      <c r="W13" s="308">
        <f t="shared" si="7"/>
        <v>6190.3408264820146</v>
      </c>
      <c r="X13" s="290">
        <f>IFERROR(IFERROR(VLOOKUP(C13,'[2]Swiss pivot'!$E$3:$H$54,3,0),VLOOKUP($C13,'[2]Breakdown non-EU havens'!$F$4:$H$31,3,0)/$E$106),AK13*'[2]Non-EU tax havens'!$I$8)</f>
        <v>218.41593799022883</v>
      </c>
      <c r="Y13" s="289">
        <f>AE13*'[2]Non-EU tax havens'!$I$13</f>
        <v>5971.9248884917861</v>
      </c>
      <c r="Z13" s="266"/>
      <c r="AA13" s="49">
        <f>+'[2]CDIS Table-4'!O10</f>
        <v>7.0642788861976962E-3</v>
      </c>
      <c r="AB13" s="52">
        <f>+AA13</f>
        <v>7.0642788861976962E-3</v>
      </c>
      <c r="AC13" s="52">
        <f t="shared" si="8"/>
        <v>1.4065777984370734E-2</v>
      </c>
      <c r="AD13" s="52">
        <f t="shared" si="9"/>
        <v>7.0642788861976962E-3</v>
      </c>
      <c r="AE13" s="52">
        <f t="shared" si="10"/>
        <v>1.786352141955954E-2</v>
      </c>
      <c r="AF13" s="52"/>
      <c r="AG13" s="49">
        <f t="shared" si="18"/>
        <v>7.0642788861976962E-3</v>
      </c>
      <c r="AH13" s="52">
        <f>+AG13</f>
        <v>7.0642788861976962E-3</v>
      </c>
      <c r="AI13" s="52">
        <f t="shared" si="11"/>
        <v>1.4065777984370734E-2</v>
      </c>
      <c r="AJ13" s="52"/>
      <c r="AK13" s="52">
        <f t="shared" si="12"/>
        <v>0</v>
      </c>
      <c r="AL13" s="52"/>
      <c r="AM13" s="49">
        <f>+'[2]CDIS Table-4'!U10</f>
        <v>0</v>
      </c>
      <c r="AN13" s="52">
        <f>+AM13</f>
        <v>0</v>
      </c>
      <c r="AO13" s="52">
        <f t="shared" si="13"/>
        <v>0</v>
      </c>
      <c r="AP13" s="52">
        <f t="shared" si="14"/>
        <v>0</v>
      </c>
      <c r="AQ13" s="52">
        <f t="shared" si="15"/>
        <v>0</v>
      </c>
      <c r="AR13" s="52"/>
      <c r="AS13" s="52">
        <f t="shared" si="16"/>
        <v>0</v>
      </c>
      <c r="AT13" s="52"/>
      <c r="AU13" s="52">
        <f t="shared" si="17"/>
        <v>0</v>
      </c>
    </row>
    <row r="14" spans="3:47" x14ac:dyDescent="0.35">
      <c r="C14" s="311" t="s">
        <v>37</v>
      </c>
      <c r="D14" s="308">
        <f t="shared" si="0"/>
        <v>241.50943396226413</v>
      </c>
      <c r="E14" s="308">
        <f t="shared" si="4"/>
        <v>220.87264150943395</v>
      </c>
      <c r="F14" s="281">
        <f>VLOOKUP($C14,'[2]Breakdown EU havens'!$S$4:$Y$31,F$2,0)/E106</f>
        <v>4.716981132075472</v>
      </c>
      <c r="G14" s="281">
        <f>VLOOKUP($C14,'[2]Breakdown EU havens'!$S$4:$Y$31,G$2,0)/E106</f>
        <v>0.47169811320754723</v>
      </c>
      <c r="H14" s="281">
        <f>VLOOKUP($C14,'[2]Breakdown EU havens'!$S$4:$Y$31,H$2,0)/E106</f>
        <v>58.490566037735853</v>
      </c>
      <c r="I14" s="281">
        <f>VLOOKUP($C14,'[2]Breakdown EU havens'!$S$4:$Y$31,I$2,0)/E106</f>
        <v>47.877358490566039</v>
      </c>
      <c r="J14" s="281">
        <f>VLOOKUP($C14,'[2]Breakdown EU havens'!$S$4:$Y$31,J$2,0)/E106</f>
        <v>0.82547169811320753</v>
      </c>
      <c r="K14" s="281">
        <f>VLOOKUP($C14,'[2]Breakdown EU havens'!$S$4:$Y$31,K$2,0)/E106</f>
        <v>108.49056603773585</v>
      </c>
      <c r="L14" s="308">
        <f t="shared" si="5"/>
        <v>20.636792452830189</v>
      </c>
      <c r="M14" s="290">
        <f>VLOOKUP($C14,'[2]Breakdown non-EU havens'!$K$4:$M$31,3,0)/E106</f>
        <v>20.636792452830189</v>
      </c>
      <c r="N14" s="295">
        <f>VLOOKUP($C14,'[2]Breakdown non-EU havens'!$K$4:$M$31,2,0)/E106</f>
        <v>0</v>
      </c>
      <c r="O14" s="308">
        <f t="shared" si="2"/>
        <v>2580.5424528301892</v>
      </c>
      <c r="P14" s="308">
        <f t="shared" si="6"/>
        <v>2141.3915094339627</v>
      </c>
      <c r="Q14" s="281">
        <f>VLOOKUP($C14,'[2]Breakdown EU havens'!$J$4:$P$31,Q$2,0)/E106</f>
        <v>503.53773584905662</v>
      </c>
      <c r="R14" s="281">
        <f>VLOOKUP($C14,'[2]Breakdown EU havens'!$J$4:$P$31,R$2,0)/E106</f>
        <v>9.433962264150944</v>
      </c>
      <c r="S14" s="281">
        <f>VLOOKUP($C14,'[2]Breakdown EU havens'!$J$4:$P$31,S$2,0)/E106</f>
        <v>548.34905660377365</v>
      </c>
      <c r="T14" s="281">
        <f>VLOOKUP($C14,'[2]Breakdown EU havens'!$J$4:$P$31,T$2,0)/E106</f>
        <v>321.46226415094344</v>
      </c>
      <c r="U14" s="281">
        <f>VLOOKUP($C14,'[2]Breakdown EU havens'!$J$4:$P$31,U$2,0)/E106</f>
        <v>37.617924528301884</v>
      </c>
      <c r="V14" s="281">
        <f>VLOOKUP($C14,'[2]Breakdown EU havens'!$J$4:$P$31,V$2,0)/E106</f>
        <v>720.99056603773579</v>
      </c>
      <c r="W14" s="308">
        <f t="shared" si="7"/>
        <v>439.15094339622641</v>
      </c>
      <c r="X14" s="290">
        <f>IFERROR(IFERROR(VLOOKUP(C14,'[2]Swiss pivot'!$E$3:$H$54,3,0),VLOOKUP($C14,'[2]Breakdown non-EU havens'!$F$4:$H$31,3,0)/$E$106),AK14*'[2]Non-EU tax havens'!$I$8)</f>
        <v>370.87264150943395</v>
      </c>
      <c r="Y14" s="289">
        <f>VLOOKUP($C14,'[2]Breakdown non-EU havens'!$F$4:$H$31,2,0)/E106</f>
        <v>68.278301886792448</v>
      </c>
      <c r="Z14" s="266"/>
      <c r="AA14" s="49">
        <f>+'[2]CDIS Table-4'!O11</f>
        <v>4.2168628042858767E-3</v>
      </c>
      <c r="AB14" s="52"/>
      <c r="AC14" s="52">
        <f t="shared" si="8"/>
        <v>0</v>
      </c>
      <c r="AD14" s="52">
        <f t="shared" si="9"/>
        <v>0</v>
      </c>
      <c r="AE14" s="52">
        <f t="shared" si="10"/>
        <v>0</v>
      </c>
      <c r="AF14" s="52"/>
      <c r="AG14" s="49">
        <f t="shared" si="18"/>
        <v>4.2168628042858767E-3</v>
      </c>
      <c r="AH14" s="52"/>
      <c r="AI14" s="52">
        <f t="shared" si="11"/>
        <v>0</v>
      </c>
      <c r="AJ14" s="52"/>
      <c r="AK14" s="52">
        <f t="shared" si="12"/>
        <v>0</v>
      </c>
      <c r="AL14" s="52"/>
      <c r="AM14" s="49">
        <f>+'[2]CDIS Table-4'!U11</f>
        <v>0</v>
      </c>
      <c r="AN14" s="52"/>
      <c r="AO14" s="52">
        <f t="shared" si="13"/>
        <v>0</v>
      </c>
      <c r="AP14" s="52">
        <f t="shared" si="14"/>
        <v>0</v>
      </c>
      <c r="AQ14" s="52">
        <f t="shared" si="15"/>
        <v>0</v>
      </c>
      <c r="AR14" s="52"/>
      <c r="AS14" s="52">
        <f t="shared" si="16"/>
        <v>0</v>
      </c>
      <c r="AT14" s="52"/>
      <c r="AU14" s="52">
        <f t="shared" si="17"/>
        <v>0</v>
      </c>
    </row>
    <row r="15" spans="3:47" x14ac:dyDescent="0.35">
      <c r="C15" s="311" t="s">
        <v>38</v>
      </c>
      <c r="D15" s="308">
        <f t="shared" si="0"/>
        <v>245.16509433962264</v>
      </c>
      <c r="E15" s="308">
        <f t="shared" si="4"/>
        <v>161.91037735849056</v>
      </c>
      <c r="F15" s="281">
        <f>VLOOKUP($C15,'[2]Breakdown EU havens'!$S$4:$Y$31,F$2,0)/E106</f>
        <v>16.391509433962266</v>
      </c>
      <c r="G15" s="281">
        <f>VLOOKUP($C15,'[2]Breakdown EU havens'!$S$4:$Y$31,G$2,0)/E106</f>
        <v>0</v>
      </c>
      <c r="H15" s="281">
        <f>VLOOKUP($C15,'[2]Breakdown EU havens'!$S$4:$Y$31,H$2,0)/E106</f>
        <v>15.683962264150944</v>
      </c>
      <c r="I15" s="281">
        <f>VLOOKUP($C15,'[2]Breakdown EU havens'!$S$4:$Y$31,I$2,0)/E106</f>
        <v>43.160377358490571</v>
      </c>
      <c r="J15" s="281">
        <f>VLOOKUP($C15,'[2]Breakdown EU havens'!$S$4:$Y$31,J$2,0)/E106</f>
        <v>0.589622641509434</v>
      </c>
      <c r="K15" s="281">
        <f>VLOOKUP($C15,'[2]Breakdown EU havens'!$S$4:$Y$31,K$2,0)/E106</f>
        <v>86.084905660377359</v>
      </c>
      <c r="L15" s="308">
        <f t="shared" si="5"/>
        <v>83.254716981132077</v>
      </c>
      <c r="M15" s="290">
        <f>VLOOKUP($C15,'[2]Breakdown non-EU havens'!$K$4:$M$31,3,0)/E106</f>
        <v>56.60377358490566</v>
      </c>
      <c r="N15" s="295">
        <f>VLOOKUP($C15,'[2]Breakdown non-EU havens'!$K$4:$M$31,2,0)/E106</f>
        <v>26.650943396226417</v>
      </c>
      <c r="O15" s="308">
        <f t="shared" si="2"/>
        <v>5497.2643993757365</v>
      </c>
      <c r="P15" s="308">
        <f t="shared" si="6"/>
        <v>4790.683962264151</v>
      </c>
      <c r="Q15" s="281">
        <f>VLOOKUP($C15,'[2]Breakdown EU havens'!$J$4:$P$31,Q$2,0)/E106</f>
        <v>689.85849056603774</v>
      </c>
      <c r="R15" s="281">
        <f>VLOOKUP($C15,'[2]Breakdown EU havens'!$J$4:$P$31,R$2,0)/E106</f>
        <v>34.551886792452834</v>
      </c>
      <c r="S15" s="281">
        <f>VLOOKUP($C15,'[2]Breakdown EU havens'!$J$4:$P$31,S$2,0)/E106</f>
        <v>1682.7830188679245</v>
      </c>
      <c r="T15" s="281">
        <f>VLOOKUP($C15,'[2]Breakdown EU havens'!$J$4:$P$31,T$2,0)/E106</f>
        <v>540.09433962264154</v>
      </c>
      <c r="U15" s="281">
        <f>VLOOKUP($C15,'[2]Breakdown EU havens'!$J$4:$P$31,U$2,0)/E106</f>
        <v>245.99056603773585</v>
      </c>
      <c r="V15" s="281">
        <f>VLOOKUP($C15,'[2]Breakdown EU havens'!$J$4:$P$31,V$2,0)/E106</f>
        <v>1597.4056603773583</v>
      </c>
      <c r="W15" s="308">
        <f t="shared" si="7"/>
        <v>706.58043711158552</v>
      </c>
      <c r="X15" s="290">
        <f>IFERROR(IFERROR(VLOOKUP(C15,'[2]Swiss pivot'!$E$3:$H$54,3,0),VLOOKUP($C15,'[2]Breakdown non-EU havens'!$F$4:$H$31,3,0)/$E$106),AK15*'[2]Non-EU tax havens'!$I$8)</f>
        <v>319.19836163988737</v>
      </c>
      <c r="Y15" s="289">
        <f>VLOOKUP($C15,'[2]Breakdown non-EU havens'!$F$4:$H$31,2,0)/E106</f>
        <v>387.3820754716981</v>
      </c>
      <c r="Z15" s="266"/>
      <c r="AA15" s="49">
        <f>+'[2]CDIS Table-4'!O12</f>
        <v>4.270260946196207E-3</v>
      </c>
      <c r="AB15" s="52"/>
      <c r="AC15" s="52">
        <f t="shared" si="8"/>
        <v>0</v>
      </c>
      <c r="AD15" s="52">
        <f t="shared" si="9"/>
        <v>0</v>
      </c>
      <c r="AE15" s="52">
        <f t="shared" si="10"/>
        <v>0</v>
      </c>
      <c r="AF15" s="52"/>
      <c r="AG15" s="49">
        <f t="shared" si="18"/>
        <v>4.270260946196207E-3</v>
      </c>
      <c r="AH15" s="52"/>
      <c r="AI15" s="52">
        <f t="shared" si="11"/>
        <v>0</v>
      </c>
      <c r="AJ15" s="52"/>
      <c r="AK15" s="52">
        <f t="shared" si="12"/>
        <v>0</v>
      </c>
      <c r="AL15" s="52"/>
      <c r="AM15" s="49">
        <f>+'[2]CDIS Table-4'!U12</f>
        <v>0</v>
      </c>
      <c r="AN15" s="52"/>
      <c r="AO15" s="52">
        <f t="shared" si="13"/>
        <v>0</v>
      </c>
      <c r="AP15" s="52">
        <f t="shared" si="14"/>
        <v>0</v>
      </c>
      <c r="AQ15" s="52">
        <f t="shared" si="15"/>
        <v>0</v>
      </c>
      <c r="AR15" s="52"/>
      <c r="AS15" s="52">
        <f t="shared" si="16"/>
        <v>0</v>
      </c>
      <c r="AT15" s="52"/>
      <c r="AU15" s="52">
        <f t="shared" si="17"/>
        <v>0</v>
      </c>
    </row>
    <row r="16" spans="3:47" x14ac:dyDescent="0.35">
      <c r="C16" s="321" t="s">
        <v>39</v>
      </c>
      <c r="D16" s="308">
        <f t="shared" si="0"/>
        <v>21.816037735849058</v>
      </c>
      <c r="E16" s="308">
        <f t="shared" si="4"/>
        <v>18.632075471698116</v>
      </c>
      <c r="F16" s="281">
        <f>VLOOKUP($C16,'[2]Breakdown EU havens'!$S$4:$Y$31,F$2,0)/E106</f>
        <v>3.5377358490566038</v>
      </c>
      <c r="G16" s="281">
        <f>VLOOKUP($C16,'[2]Breakdown EU havens'!$S$4:$Y$31,G$2,0)/E106</f>
        <v>0</v>
      </c>
      <c r="H16" s="281">
        <f>VLOOKUP($C16,'[2]Breakdown EU havens'!$S$4:$Y$31,H$2,0)/E106</f>
        <v>2.1226415094339623</v>
      </c>
      <c r="I16" s="281">
        <f>VLOOKUP($C16,'[2]Breakdown EU havens'!$S$4:$Y$31,I$2,0)/E106</f>
        <v>0</v>
      </c>
      <c r="J16" s="281">
        <f>VLOOKUP($C16,'[2]Breakdown EU havens'!$S$4:$Y$31,J$2,0)/E106</f>
        <v>0</v>
      </c>
      <c r="K16" s="281">
        <f>VLOOKUP($C16,'[2]Breakdown EU havens'!$S$4:$Y$31,K$2,0)/E106</f>
        <v>12.971698113207548</v>
      </c>
      <c r="L16" s="308">
        <f t="shared" si="5"/>
        <v>3.1839622641509435</v>
      </c>
      <c r="M16" s="290">
        <f>VLOOKUP($C16,'[2]Breakdown non-EU havens'!$K$4:$M$31,3,0)/E106</f>
        <v>1.5330188679245285</v>
      </c>
      <c r="N16" s="295">
        <f>VLOOKUP($C16,'[2]Breakdown non-EU havens'!$K$4:$M$31,2,0)/E106</f>
        <v>1.6509433962264151</v>
      </c>
      <c r="O16" s="308">
        <f t="shared" si="2"/>
        <v>378.77358490566041</v>
      </c>
      <c r="P16" s="308">
        <f t="shared" si="6"/>
        <v>303.77358490566041</v>
      </c>
      <c r="Q16" s="281">
        <f>VLOOKUP($C16,'[2]Breakdown EU havens'!$J$4:$P$31,Q$2,0)/E106</f>
        <v>79.009433962264154</v>
      </c>
      <c r="R16" s="281">
        <f>VLOOKUP($C16,'[2]Breakdown EU havens'!$J$4:$P$31,R$2,0)/E106</f>
        <v>0.35377358490566035</v>
      </c>
      <c r="S16" s="281">
        <f>VLOOKUP($C16,'[2]Breakdown EU havens'!$J$4:$P$31,S$2,0)/E106</f>
        <v>49.528301886792455</v>
      </c>
      <c r="T16" s="281">
        <f>VLOOKUP($C16,'[2]Breakdown EU havens'!$J$4:$P$31,T$2,0)/E106</f>
        <v>101.41509433962264</v>
      </c>
      <c r="U16" s="281">
        <f>VLOOKUP($C16,'[2]Breakdown EU havens'!$J$4:$P$31,U$2,0)/E106</f>
        <v>17.924528301886792</v>
      </c>
      <c r="V16" s="281">
        <f>VLOOKUP($C16,'[2]Breakdown EU havens'!$J$4:$P$31,V$2,0)/E106</f>
        <v>55.54245283018868</v>
      </c>
      <c r="W16" s="308">
        <f t="shared" si="7"/>
        <v>75</v>
      </c>
      <c r="X16" s="290">
        <f>IFERROR(IFERROR(VLOOKUP(C16,'[2]Swiss pivot'!$E$3:$H$54,3,0),VLOOKUP($C16,'[2]Breakdown non-EU havens'!$F$4:$H$31,3,0)/$E$106),AK16*'[2]Non-EU tax havens'!$I$8)</f>
        <v>39.386792452830186</v>
      </c>
      <c r="Y16" s="289">
        <f>VLOOKUP($C16,'[2]Breakdown non-EU havens'!$F$4:$H$31,2,0)/E106</f>
        <v>35.613207547169814</v>
      </c>
      <c r="Z16" s="266"/>
      <c r="AA16" s="49">
        <f>+'[2]CDIS Table-4'!O13</f>
        <v>6.773202753420001E-4</v>
      </c>
      <c r="AB16" s="52"/>
      <c r="AC16" s="52">
        <f t="shared" si="8"/>
        <v>0</v>
      </c>
      <c r="AD16" s="52">
        <f t="shared" si="9"/>
        <v>0</v>
      </c>
      <c r="AE16" s="52">
        <f t="shared" si="10"/>
        <v>0</v>
      </c>
      <c r="AF16" s="52"/>
      <c r="AG16" s="49">
        <f t="shared" si="18"/>
        <v>6.773202753420001E-4</v>
      </c>
      <c r="AH16" s="52"/>
      <c r="AI16" s="52">
        <f t="shared" si="11"/>
        <v>0</v>
      </c>
      <c r="AJ16" s="52"/>
      <c r="AK16" s="52">
        <f t="shared" si="12"/>
        <v>0</v>
      </c>
      <c r="AL16" s="52"/>
      <c r="AM16" s="49">
        <f>+'[2]CDIS Table-4'!U13</f>
        <v>0</v>
      </c>
      <c r="AN16" s="52"/>
      <c r="AO16" s="52">
        <f t="shared" si="13"/>
        <v>0</v>
      </c>
      <c r="AP16" s="52">
        <f t="shared" si="14"/>
        <v>0</v>
      </c>
      <c r="AQ16" s="52">
        <f t="shared" si="15"/>
        <v>0</v>
      </c>
      <c r="AR16" s="52"/>
      <c r="AS16" s="52">
        <f t="shared" si="16"/>
        <v>0</v>
      </c>
      <c r="AT16" s="52"/>
      <c r="AU16" s="52">
        <f t="shared" si="17"/>
        <v>0</v>
      </c>
    </row>
    <row r="17" spans="1:47" x14ac:dyDescent="0.35">
      <c r="C17" s="311" t="s">
        <v>40</v>
      </c>
      <c r="D17" s="308">
        <f t="shared" si="0"/>
        <v>299.8820754716981</v>
      </c>
      <c r="E17" s="308">
        <f t="shared" si="4"/>
        <v>236.20283018867923</v>
      </c>
      <c r="F17" s="281">
        <f>VLOOKUP($C17,'[2]Breakdown EU havens'!$S$4:$Y$31,F$2,0)/E106</f>
        <v>7.783018867924528</v>
      </c>
      <c r="G17" s="281">
        <f>VLOOKUP($C17,'[2]Breakdown EU havens'!$S$4:$Y$31,G$2,0)/E106</f>
        <v>0</v>
      </c>
      <c r="H17" s="281">
        <f>VLOOKUP($C17,'[2]Breakdown EU havens'!$S$4:$Y$31,H$2,0)/E106</f>
        <v>2.358490566037736</v>
      </c>
      <c r="I17" s="281">
        <f>VLOOKUP($C17,'[2]Breakdown EU havens'!$S$4:$Y$31,I$2,0)/E106</f>
        <v>16.15566037735849</v>
      </c>
      <c r="J17" s="281">
        <f>VLOOKUP($C17,'[2]Breakdown EU havens'!$S$4:$Y$31,J$2,0)/E106</f>
        <v>0</v>
      </c>
      <c r="K17" s="281">
        <f>VLOOKUP($C17,'[2]Breakdown EU havens'!$S$4:$Y$31,K$2,0)/E106</f>
        <v>209.90566037735849</v>
      </c>
      <c r="L17" s="308">
        <f t="shared" si="5"/>
        <v>63.679245283018872</v>
      </c>
      <c r="M17" s="290">
        <f>VLOOKUP($C17,'[2]Breakdown non-EU havens'!$K$4:$M$31,3,0)/E106</f>
        <v>4.716981132075472</v>
      </c>
      <c r="N17" s="295">
        <f>VLOOKUP($C17,'[2]Breakdown non-EU havens'!$K$4:$M$31,2,0)/E106</f>
        <v>58.962264150943398</v>
      </c>
      <c r="O17" s="308">
        <f t="shared" si="2"/>
        <v>4513.6929052575288</v>
      </c>
      <c r="P17" s="308">
        <f t="shared" si="6"/>
        <v>3635.3773584905662</v>
      </c>
      <c r="Q17" s="281">
        <f>VLOOKUP($C17,'[2]Breakdown EU havens'!$J$4:$P$31,Q$2,0)/E106</f>
        <v>411.55660377358492</v>
      </c>
      <c r="R17" s="281">
        <f>VLOOKUP($C17,'[2]Breakdown EU havens'!$J$4:$P$31,R$2,0)/E106</f>
        <v>2.8301886792452828</v>
      </c>
      <c r="S17" s="281">
        <f>VLOOKUP($C17,'[2]Breakdown EU havens'!$J$4:$P$31,S$2,0)/E106</f>
        <v>1194.5754716981132</v>
      </c>
      <c r="T17" s="281">
        <f>VLOOKUP($C17,'[2]Breakdown EU havens'!$J$4:$P$31,T$2,0)/E106</f>
        <v>748.82075471698113</v>
      </c>
      <c r="U17" s="281">
        <f>VLOOKUP($C17,'[2]Breakdown EU havens'!$J$4:$P$31,U$2,0)/E106</f>
        <v>79.834905660377359</v>
      </c>
      <c r="V17" s="281">
        <f>VLOOKUP($C17,'[2]Breakdown EU havens'!$J$4:$P$31,V$2,0)/E106</f>
        <v>1197.7594339622642</v>
      </c>
      <c r="W17" s="308">
        <f t="shared" si="7"/>
        <v>878.31554676696214</v>
      </c>
      <c r="X17" s="290">
        <f>IFERROR(IFERROR(VLOOKUP(C17,'[2]Swiss pivot'!$E$3:$H$54,3,0),VLOOKUP($C17,'[2]Breakdown non-EU havens'!$F$4:$H$31,3,0)/$E$106),AK17*'[2]Non-EU tax havens'!$I$8)</f>
        <v>365.34384865375455</v>
      </c>
      <c r="Y17" s="289">
        <f>VLOOKUP($C17,'[2]Breakdown non-EU havens'!$F$4:$H$31,2,0)/E106</f>
        <v>512.97169811320759</v>
      </c>
      <c r="Z17" s="266"/>
      <c r="AA17" s="49">
        <f>+'[2]CDIS Table-4'!O14</f>
        <v>2.5371919195899964E-3</v>
      </c>
      <c r="AB17" s="52"/>
      <c r="AC17" s="52">
        <f t="shared" si="8"/>
        <v>0</v>
      </c>
      <c r="AD17" s="52">
        <f t="shared" si="9"/>
        <v>0</v>
      </c>
      <c r="AE17" s="52">
        <f t="shared" si="10"/>
        <v>0</v>
      </c>
      <c r="AF17" s="52"/>
      <c r="AG17" s="49">
        <f t="shared" si="18"/>
        <v>2.5371919195899964E-3</v>
      </c>
      <c r="AH17" s="52"/>
      <c r="AI17" s="52">
        <f t="shared" si="11"/>
        <v>0</v>
      </c>
      <c r="AJ17" s="52"/>
      <c r="AK17" s="52">
        <f t="shared" si="12"/>
        <v>0</v>
      </c>
      <c r="AL17" s="52"/>
      <c r="AM17" s="49">
        <f>+'[2]CDIS Table-4'!U14</f>
        <v>0</v>
      </c>
      <c r="AN17" s="52"/>
      <c r="AO17" s="52">
        <f t="shared" si="13"/>
        <v>0</v>
      </c>
      <c r="AP17" s="52">
        <f t="shared" si="14"/>
        <v>0</v>
      </c>
      <c r="AQ17" s="52">
        <f t="shared" si="15"/>
        <v>0</v>
      </c>
      <c r="AR17" s="52"/>
      <c r="AS17" s="52">
        <f t="shared" si="16"/>
        <v>0</v>
      </c>
      <c r="AT17" s="52"/>
      <c r="AU17" s="52">
        <f t="shared" si="17"/>
        <v>0</v>
      </c>
    </row>
    <row r="18" spans="1:47" x14ac:dyDescent="0.35">
      <c r="C18" s="321" t="s">
        <v>41</v>
      </c>
      <c r="D18" s="308">
        <f t="shared" si="0"/>
        <v>3057.6650943396226</v>
      </c>
      <c r="E18" s="308">
        <f t="shared" si="4"/>
        <v>2626.0613207547171</v>
      </c>
      <c r="F18" s="281">
        <f>VLOOKUP($C18,'[2]Breakdown EU havens'!$S$4:$Y$31,F$2,0)/E106</f>
        <v>320.75471698113211</v>
      </c>
      <c r="G18" s="281">
        <f>VLOOKUP($C18,'[2]Breakdown EU havens'!$S$4:$Y$31,G$2,0)/E106</f>
        <v>0</v>
      </c>
      <c r="H18" s="281">
        <f>VLOOKUP($C18,'[2]Breakdown EU havens'!$S$4:$Y$31,H$2,0)/E106</f>
        <v>225.23584905660377</v>
      </c>
      <c r="I18" s="281">
        <f>VLOOKUP($C18,'[2]Breakdown EU havens'!$S$4:$Y$31,I$2,0)/E106</f>
        <v>944.10377358490575</v>
      </c>
      <c r="J18" s="281">
        <f>VLOOKUP($C18,'[2]Breakdown EU havens'!$S$4:$Y$31,J$2,0)/E106</f>
        <v>3.891509433962264</v>
      </c>
      <c r="K18" s="281">
        <f>VLOOKUP($C18,'[2]Breakdown EU havens'!$S$4:$Y$31,K$2,0)/E106</f>
        <v>1132.0754716981132</v>
      </c>
      <c r="L18" s="308">
        <f t="shared" si="5"/>
        <v>431.60377358490564</v>
      </c>
      <c r="M18" s="290">
        <f>VLOOKUP($C18,'[2]Breakdown non-EU havens'!$K$4:$M$31,3,0)/E106</f>
        <v>295.99056603773585</v>
      </c>
      <c r="N18" s="295">
        <f>VLOOKUP($C18,'[2]Breakdown non-EU havens'!$K$4:$M$31,2,0)/E106</f>
        <v>135.61320754716982</v>
      </c>
      <c r="O18" s="308">
        <f t="shared" si="2"/>
        <v>39795.187745298899</v>
      </c>
      <c r="P18" s="308">
        <f t="shared" si="6"/>
        <v>32284.669811320757</v>
      </c>
      <c r="Q18" s="281">
        <f>VLOOKUP($C18,'[2]Breakdown EU havens'!$J$4:$P$31,Q$2,0)/E106</f>
        <v>5971.6981132075471</v>
      </c>
      <c r="R18" s="281">
        <f>VLOOKUP($C18,'[2]Breakdown EU havens'!$J$4:$P$31,R$2,0)/E106</f>
        <v>38.915094339622641</v>
      </c>
      <c r="S18" s="281">
        <f>VLOOKUP($C18,'[2]Breakdown EU havens'!$J$4:$P$31,S$2,0)/E106</f>
        <v>6851.4150943396226</v>
      </c>
      <c r="T18" s="281">
        <f>VLOOKUP($C18,'[2]Breakdown EU havens'!$J$4:$P$31,T$2,0)/E106</f>
        <v>10653.301886792453</v>
      </c>
      <c r="U18" s="281">
        <f>VLOOKUP($C18,'[2]Breakdown EU havens'!$J$4:$P$31,U$2,0)/E106</f>
        <v>407.90094339622641</v>
      </c>
      <c r="V18" s="281">
        <f>VLOOKUP($C18,'[2]Breakdown EU havens'!$J$4:$P$31,V$2,0)/E106</f>
        <v>8361.4386792452824</v>
      </c>
      <c r="W18" s="308">
        <f t="shared" si="7"/>
        <v>7510.5179339781425</v>
      </c>
      <c r="X18" s="290">
        <f>IFERROR(IFERROR(VLOOKUP(C18,'[2]Swiss pivot'!$E$3:$H$54,3,0),VLOOKUP($C18,'[2]Breakdown non-EU havens'!$F$4:$H$31,3,0)/$E$106),AK18*'[2]Non-EU tax havens'!$I$8)</f>
        <v>3568.3009528460666</v>
      </c>
      <c r="Y18" s="289">
        <f>VLOOKUP($C18,'[2]Breakdown non-EU havens'!$F$4:$H$31,2,0)/E106</f>
        <v>3942.2169811320755</v>
      </c>
      <c r="Z18" s="266"/>
      <c r="AA18" s="49">
        <f>+'[2]CDIS Table-4'!O15</f>
        <v>2.3101070838444246E-2</v>
      </c>
      <c r="AB18" s="52"/>
      <c r="AC18" s="52">
        <f t="shared" si="8"/>
        <v>0</v>
      </c>
      <c r="AD18" s="52">
        <f t="shared" si="9"/>
        <v>0</v>
      </c>
      <c r="AE18" s="52">
        <f t="shared" si="10"/>
        <v>0</v>
      </c>
      <c r="AF18" s="52"/>
      <c r="AG18" s="49">
        <f t="shared" si="18"/>
        <v>2.3101070838444246E-2</v>
      </c>
      <c r="AH18" s="52"/>
      <c r="AI18" s="52">
        <f t="shared" si="11"/>
        <v>0</v>
      </c>
      <c r="AJ18" s="52"/>
      <c r="AK18" s="52">
        <f t="shared" si="12"/>
        <v>0</v>
      </c>
      <c r="AL18" s="52"/>
      <c r="AM18" s="49">
        <f>+'[2]CDIS Table-4'!U15</f>
        <v>0</v>
      </c>
      <c r="AN18" s="52"/>
      <c r="AO18" s="52">
        <f t="shared" si="13"/>
        <v>0</v>
      </c>
      <c r="AP18" s="52">
        <f t="shared" si="14"/>
        <v>0</v>
      </c>
      <c r="AQ18" s="52">
        <f t="shared" si="15"/>
        <v>0</v>
      </c>
      <c r="AR18" s="52"/>
      <c r="AS18" s="52">
        <f t="shared" si="16"/>
        <v>0</v>
      </c>
      <c r="AT18" s="52"/>
      <c r="AU18" s="52">
        <f t="shared" si="17"/>
        <v>0</v>
      </c>
    </row>
    <row r="19" spans="1:47" x14ac:dyDescent="0.35">
      <c r="B19" s="253" t="s">
        <v>325</v>
      </c>
      <c r="C19" s="311" t="s">
        <v>42</v>
      </c>
      <c r="D19" s="308">
        <f t="shared" si="0"/>
        <v>10960.613207547171</v>
      </c>
      <c r="E19" s="308">
        <f t="shared" si="4"/>
        <v>9591.5094339622647</v>
      </c>
      <c r="F19" s="281">
        <f>VLOOKUP($B19,'[2]Breakdown EU havens'!$S$4:$Y$31,F$2,0)/E106</f>
        <v>779.7169811320756</v>
      </c>
      <c r="G19" s="281">
        <f>VLOOKUP($B19,'[2]Breakdown EU havens'!$S$4:$Y$31,G$2,0)/E106</f>
        <v>0</v>
      </c>
      <c r="H19" s="281">
        <f>VLOOKUP($B19,'[2]Breakdown EU havens'!$S$4:$Y$31,H$2,0)/E106</f>
        <v>398.58490566037739</v>
      </c>
      <c r="I19" s="281">
        <f>VLOOKUP($B19,'[2]Breakdown EU havens'!$S$4:$Y$31,I$2,0)/E106</f>
        <v>2022.4056603773586</v>
      </c>
      <c r="J19" s="281">
        <f>VLOOKUP($B19,'[2]Breakdown EU havens'!$S$4:$Y$31,J$2,0)/E106</f>
        <v>19.339622641509433</v>
      </c>
      <c r="K19" s="281">
        <f>VLOOKUP($B19,'[2]Breakdown EU havens'!$S$4:$Y$31,K$2,0)/E106</f>
        <v>6371.4622641509432</v>
      </c>
      <c r="L19" s="308">
        <f t="shared" si="5"/>
        <v>1369.1037735849056</v>
      </c>
      <c r="M19" s="290">
        <f>VLOOKUP($B19,'[2]Breakdown non-EU havens'!$K$4:$M$31,3,0)/E106</f>
        <v>560.14150943396226</v>
      </c>
      <c r="N19" s="295">
        <f>VLOOKUP($B19,'[2]Breakdown non-EU havens'!$K$4:$M$31,2,0)/E106</f>
        <v>808.96226415094338</v>
      </c>
      <c r="O19" s="308">
        <f t="shared" si="2"/>
        <v>64036.373245853829</v>
      </c>
      <c r="P19" s="308">
        <f t="shared" si="6"/>
        <v>51332.193396226416</v>
      </c>
      <c r="Q19" s="281">
        <f>VLOOKUP($B19,'[2]Breakdown EU havens'!$J$4:$P$31,Q$2,0)/E106</f>
        <v>6165.0943396226421</v>
      </c>
      <c r="R19" s="281">
        <f>VLOOKUP($B19,'[2]Breakdown EU havens'!$J$4:$P$31,R$2,0)/E106</f>
        <v>120.28301886792453</v>
      </c>
      <c r="S19" s="281">
        <f>VLOOKUP($B19,'[2]Breakdown EU havens'!$J$4:$P$31,S$2,0)/E106</f>
        <v>12214.622641509435</v>
      </c>
      <c r="T19" s="281">
        <f>VLOOKUP($B19,'[2]Breakdown EU havens'!$J$4:$P$31,T$2,0)/E106</f>
        <v>18053.066037735851</v>
      </c>
      <c r="U19" s="281">
        <f>VLOOKUP($B19,'[2]Breakdown EU havens'!$J$4:$P$31,U$2,0)/E106</f>
        <v>876.41509433962267</v>
      </c>
      <c r="V19" s="281">
        <f>VLOOKUP($B19,'[2]Breakdown EU havens'!$J$4:$P$31,V$2,0)/E106</f>
        <v>13902.712264150943</v>
      </c>
      <c r="W19" s="308">
        <f t="shared" si="7"/>
        <v>12704.179849627413</v>
      </c>
      <c r="X19" s="290">
        <f>IFERROR(IFERROR(VLOOKUP(C19,'[2]Swiss pivot'!$E$3:$H$54,3,0),VLOOKUP($C19,'[2]Breakdown non-EU havens'!$F$4:$H$31,3,0)/$E$106),AK19*'[2]Non-EU tax havens'!$I$8)</f>
        <v>7517.8590949104328</v>
      </c>
      <c r="Y19" s="289">
        <f>VLOOKUP($B19,'[2]Breakdown non-EU havens'!$F$4:$H$31,2,0)/E106</f>
        <v>5186.3207547169814</v>
      </c>
      <c r="Z19" s="266"/>
      <c r="AA19" s="49">
        <f>+'[2]CDIS Table-4'!O16</f>
        <v>2.7155362460586724E-2</v>
      </c>
      <c r="AB19" s="52"/>
      <c r="AC19" s="52">
        <f t="shared" si="8"/>
        <v>0</v>
      </c>
      <c r="AD19" s="52">
        <f t="shared" si="9"/>
        <v>0</v>
      </c>
      <c r="AE19" s="52">
        <f t="shared" si="10"/>
        <v>0</v>
      </c>
      <c r="AF19" s="52"/>
      <c r="AG19" s="49">
        <f t="shared" si="18"/>
        <v>2.7155362460586724E-2</v>
      </c>
      <c r="AH19" s="52"/>
      <c r="AI19" s="52">
        <f t="shared" si="11"/>
        <v>0</v>
      </c>
      <c r="AJ19" s="52"/>
      <c r="AK19" s="52">
        <f t="shared" si="12"/>
        <v>0</v>
      </c>
      <c r="AL19" s="52"/>
      <c r="AM19" s="49">
        <f>+'[2]CDIS Table-4'!U16</f>
        <v>0</v>
      </c>
      <c r="AN19" s="52"/>
      <c r="AO19" s="52">
        <f t="shared" si="13"/>
        <v>0</v>
      </c>
      <c r="AP19" s="52">
        <f t="shared" si="14"/>
        <v>0</v>
      </c>
      <c r="AQ19" s="52">
        <f t="shared" si="15"/>
        <v>0</v>
      </c>
      <c r="AR19" s="52"/>
      <c r="AS19" s="52">
        <f t="shared" si="16"/>
        <v>0</v>
      </c>
      <c r="AT19" s="52"/>
      <c r="AU19" s="52">
        <f t="shared" si="17"/>
        <v>0</v>
      </c>
    </row>
    <row r="20" spans="1:47" x14ac:dyDescent="0.35">
      <c r="C20" s="311" t="s">
        <v>43</v>
      </c>
      <c r="D20" s="308">
        <f t="shared" si="0"/>
        <v>70.283018867924525</v>
      </c>
      <c r="E20" s="308">
        <f t="shared" si="4"/>
        <v>65.448113207547166</v>
      </c>
      <c r="F20" s="281">
        <f>VLOOKUP($C20,'[2]Breakdown EU havens'!$S$4:$Y$31,F$2,0)/E106</f>
        <v>1.7688679245283019</v>
      </c>
      <c r="G20" s="281">
        <f>VLOOKUP($C20,'[2]Breakdown EU havens'!$S$4:$Y$31,G$2,0)/E106</f>
        <v>0</v>
      </c>
      <c r="H20" s="281">
        <f>VLOOKUP($C20,'[2]Breakdown EU havens'!$S$4:$Y$31,H$2,0)/E106</f>
        <v>11.674528301886793</v>
      </c>
      <c r="I20" s="281">
        <f>VLOOKUP($C20,'[2]Breakdown EU havens'!$S$4:$Y$31,I$2,0)/E106</f>
        <v>3.6556603773584908</v>
      </c>
      <c r="J20" s="281">
        <f>VLOOKUP($C20,'[2]Breakdown EU havens'!$S$4:$Y$31,J$2,0)/E106</f>
        <v>0</v>
      </c>
      <c r="K20" s="281">
        <f>VLOOKUP($C20,'[2]Breakdown EU havens'!$S$4:$Y$31,K$2,0)/E106</f>
        <v>48.349056603773583</v>
      </c>
      <c r="L20" s="308">
        <f t="shared" si="5"/>
        <v>4.834905660377359</v>
      </c>
      <c r="M20" s="290">
        <f>VLOOKUP($C20,'[2]Breakdown non-EU havens'!$K$4:$M$31,3,0)/E106</f>
        <v>3.6556603773584908</v>
      </c>
      <c r="N20" s="295">
        <f>VLOOKUP($C20,'[2]Breakdown non-EU havens'!$K$4:$M$31,2,0)/E106</f>
        <v>1.179245283018868</v>
      </c>
      <c r="O20" s="308">
        <f t="shared" si="2"/>
        <v>2026.0915793449299</v>
      </c>
      <c r="P20" s="308">
        <f t="shared" si="6"/>
        <v>1637.2641509433965</v>
      </c>
      <c r="Q20" s="281">
        <f>VLOOKUP($C20,'[2]Breakdown EU havens'!$J$4:$P$31,Q$2,0)/E106</f>
        <v>310.14150943396226</v>
      </c>
      <c r="R20" s="281">
        <f>VLOOKUP($C20,'[2]Breakdown EU havens'!$J$4:$P$31,R$2,0)/E106</f>
        <v>102.59433962264151</v>
      </c>
      <c r="S20" s="281">
        <f>VLOOKUP($C20,'[2]Breakdown EU havens'!$J$4:$P$31,S$2,0)/E106</f>
        <v>413.20754716981128</v>
      </c>
      <c r="T20" s="281">
        <f>VLOOKUP($C20,'[2]Breakdown EU havens'!$J$4:$P$31,T$2,0)/E106</f>
        <v>235.84905660377359</v>
      </c>
      <c r="U20" s="281">
        <f>VLOOKUP($C20,'[2]Breakdown EU havens'!$J$4:$P$31,U$2,0)/E106</f>
        <v>48.584905660377366</v>
      </c>
      <c r="V20" s="281">
        <f>VLOOKUP($C20,'[2]Breakdown EU havens'!$J$4:$P$31,V$2,0)/E106</f>
        <v>526.88679245283026</v>
      </c>
      <c r="W20" s="308">
        <f t="shared" si="7"/>
        <v>388.82742840153344</v>
      </c>
      <c r="X20" s="290">
        <f>IFERROR(IFERROR(VLOOKUP(C20,'[2]Swiss pivot'!$E$3:$H$54,3,0),VLOOKUP($C20,'[2]Breakdown non-EU havens'!$F$4:$H$31,3,0)/$E$106),AK20*'[2]Non-EU tax havens'!$I$8)</f>
        <v>356.51610764681647</v>
      </c>
      <c r="Y20" s="289">
        <f>VLOOKUP($C20,'[2]Breakdown non-EU havens'!$F$4:$H$31,2,0)/E106</f>
        <v>32.311320754716981</v>
      </c>
      <c r="Z20" s="266"/>
      <c r="AA20" s="49">
        <f>+'[2]CDIS Table-4'!O17</f>
        <v>9.4183324614684747E-4</v>
      </c>
      <c r="AB20" s="52"/>
      <c r="AC20" s="52">
        <f t="shared" si="8"/>
        <v>0</v>
      </c>
      <c r="AD20" s="52">
        <f t="shared" si="9"/>
        <v>0</v>
      </c>
      <c r="AE20" s="52">
        <f t="shared" si="10"/>
        <v>0</v>
      </c>
      <c r="AF20" s="52"/>
      <c r="AG20" s="49">
        <f t="shared" si="18"/>
        <v>9.4183324614684747E-4</v>
      </c>
      <c r="AH20" s="52"/>
      <c r="AI20" s="52">
        <f t="shared" si="11"/>
        <v>0</v>
      </c>
      <c r="AJ20" s="52"/>
      <c r="AK20" s="52">
        <f t="shared" si="12"/>
        <v>0</v>
      </c>
      <c r="AL20" s="52"/>
      <c r="AM20" s="49">
        <f>+'[2]CDIS Table-4'!U17</f>
        <v>0</v>
      </c>
      <c r="AN20" s="52"/>
      <c r="AO20" s="52">
        <f t="shared" si="13"/>
        <v>0</v>
      </c>
      <c r="AP20" s="52">
        <f t="shared" si="14"/>
        <v>0</v>
      </c>
      <c r="AQ20" s="52">
        <f t="shared" si="15"/>
        <v>0</v>
      </c>
      <c r="AR20" s="52"/>
      <c r="AS20" s="52">
        <f t="shared" si="16"/>
        <v>0</v>
      </c>
      <c r="AT20" s="52"/>
      <c r="AU20" s="52">
        <f t="shared" si="17"/>
        <v>0</v>
      </c>
    </row>
    <row r="21" spans="1:47" x14ac:dyDescent="0.35">
      <c r="C21" s="311" t="s">
        <v>44</v>
      </c>
      <c r="D21" s="308">
        <f t="shared" si="0"/>
        <v>1031.7216981132076</v>
      </c>
      <c r="E21" s="308">
        <f t="shared" si="4"/>
        <v>765.56603773584902</v>
      </c>
      <c r="F21" s="281">
        <f>VLOOKUP($C21,'[2]Breakdown EU havens'!$S$4:$Y$31,F$2,0)/E106</f>
        <v>2.0047169811320753</v>
      </c>
      <c r="G21" s="281">
        <f>VLOOKUP($C21,'[2]Breakdown EU havens'!$S$4:$Y$31,G$2,0)/E106</f>
        <v>0</v>
      </c>
      <c r="H21" s="281">
        <f>VLOOKUP($C21,'[2]Breakdown EU havens'!$S$4:$Y$31,H$2,0)/E106</f>
        <v>661.43867924528297</v>
      </c>
      <c r="I21" s="281">
        <f>VLOOKUP($C21,'[2]Breakdown EU havens'!$S$4:$Y$31,I$2,0)/E106</f>
        <v>24.292452830188683</v>
      </c>
      <c r="J21" s="281">
        <f>VLOOKUP($C21,'[2]Breakdown EU havens'!$S$4:$Y$31,J$2,0)/E106</f>
        <v>0</v>
      </c>
      <c r="K21" s="281">
        <f>VLOOKUP($C21,'[2]Breakdown EU havens'!$S$4:$Y$31,K$2,0)/E106</f>
        <v>77.830188679245282</v>
      </c>
      <c r="L21" s="308">
        <f t="shared" si="5"/>
        <v>266.15566037735852</v>
      </c>
      <c r="M21" s="290">
        <f>VLOOKUP($C21,'[2]Breakdown non-EU havens'!$K$4:$M$31,3,0)/E106</f>
        <v>39.740566037735853</v>
      </c>
      <c r="N21" s="295">
        <f>VLOOKUP($C21,'[2]Breakdown non-EU havens'!$K$4:$M$31,2,0)/E106</f>
        <v>226.41509433962264</v>
      </c>
      <c r="O21" s="308">
        <f t="shared" si="2"/>
        <v>4623.9502961020762</v>
      </c>
      <c r="P21" s="308">
        <f t="shared" si="6"/>
        <v>4070.4009433962265</v>
      </c>
      <c r="Q21" s="281">
        <f>VLOOKUP($C21,'[2]Breakdown EU havens'!$J$4:$P$31,Q$2,0)/E106</f>
        <v>300.70754716981133</v>
      </c>
      <c r="R21" s="281">
        <f>VLOOKUP($C21,'[2]Breakdown EU havens'!$J$4:$P$31,R$2,0)/E106</f>
        <v>1.4150943396226414</v>
      </c>
      <c r="S21" s="281">
        <f>VLOOKUP($C21,'[2]Breakdown EU havens'!$J$4:$P$31,S$2,0)/E106</f>
        <v>2652.7122641509436</v>
      </c>
      <c r="T21" s="281">
        <f>VLOOKUP($C21,'[2]Breakdown EU havens'!$J$4:$P$31,T$2,0)/E106</f>
        <v>183.49056603773585</v>
      </c>
      <c r="U21" s="281">
        <f>VLOOKUP($C21,'[2]Breakdown EU havens'!$J$4:$P$31,U$2,0)/E106</f>
        <v>14.386792452830187</v>
      </c>
      <c r="V21" s="281">
        <f>VLOOKUP($C21,'[2]Breakdown EU havens'!$J$4:$P$31,V$2,0)/E106</f>
        <v>917.68867924528308</v>
      </c>
      <c r="W21" s="308">
        <f t="shared" si="7"/>
        <v>553.54935270584997</v>
      </c>
      <c r="X21" s="290">
        <f>IFERROR(IFERROR(VLOOKUP(C21,'[2]Swiss pivot'!$E$3:$H$54,3,0),VLOOKUP($C21,'[2]Breakdown non-EU havens'!$F$4:$H$31,3,0)/$E$106),AK21*'[2]Non-EU tax havens'!$I$8)</f>
        <v>185.03520176245368</v>
      </c>
      <c r="Y21" s="289">
        <f>VLOOKUP($C21,'[2]Breakdown non-EU havens'!$F$4:$H$31,2,0)/E106</f>
        <v>368.51415094339626</v>
      </c>
      <c r="Z21" s="266"/>
      <c r="AA21" s="49">
        <f>+'[2]CDIS Table-4'!O18</f>
        <v>7.0490294335267892E-3</v>
      </c>
      <c r="AB21" s="52"/>
      <c r="AC21" s="52">
        <f t="shared" si="8"/>
        <v>0</v>
      </c>
      <c r="AD21" s="52">
        <f t="shared" si="9"/>
        <v>0</v>
      </c>
      <c r="AE21" s="52">
        <f t="shared" si="10"/>
        <v>0</v>
      </c>
      <c r="AF21" s="52"/>
      <c r="AG21" s="49">
        <f t="shared" si="18"/>
        <v>7.0490294335267892E-3</v>
      </c>
      <c r="AH21" s="52"/>
      <c r="AI21" s="52">
        <f t="shared" si="11"/>
        <v>0</v>
      </c>
      <c r="AJ21" s="52"/>
      <c r="AK21" s="52">
        <f t="shared" si="12"/>
        <v>0</v>
      </c>
      <c r="AL21" s="52"/>
      <c r="AM21" s="49">
        <f>+'[2]CDIS Table-4'!U18</f>
        <v>0</v>
      </c>
      <c r="AN21" s="52"/>
      <c r="AO21" s="52">
        <f t="shared" si="13"/>
        <v>0</v>
      </c>
      <c r="AP21" s="52">
        <f t="shared" si="14"/>
        <v>0</v>
      </c>
      <c r="AQ21" s="52">
        <f t="shared" si="15"/>
        <v>0</v>
      </c>
      <c r="AR21" s="52"/>
      <c r="AS21" s="52">
        <f t="shared" si="16"/>
        <v>0</v>
      </c>
      <c r="AT21" s="52"/>
      <c r="AU21" s="52">
        <f t="shared" si="17"/>
        <v>0</v>
      </c>
    </row>
    <row r="22" spans="1:47" x14ac:dyDescent="0.35">
      <c r="C22" s="311" t="s">
        <v>45</v>
      </c>
      <c r="D22" s="308">
        <f t="shared" si="0"/>
        <v>23.187744030047174</v>
      </c>
      <c r="E22" s="308">
        <f t="shared" si="4"/>
        <v>2.8301886792452828</v>
      </c>
      <c r="F22" s="281">
        <f>HLOOKUP($C22,'[2]Interest shifted to EU'!$L$2:$AT$8,F$2,0)/E106</f>
        <v>0.23584905660377362</v>
      </c>
      <c r="G22" s="281">
        <f>HLOOKUP($C22,'[2]Interest shifted to EU'!$L$2:$AT$8,G$2,0)/E106</f>
        <v>0</v>
      </c>
      <c r="H22" s="281">
        <f>HLOOKUP($C22,'[2]Interest shifted to EU'!$L$2:$AT$8,H$2,0)/E106</f>
        <v>0</v>
      </c>
      <c r="I22" s="281">
        <f>HLOOKUP($C22,'[2]Interest shifted to EU'!$L$2:$AT$8,I$2,0)/E106</f>
        <v>0.82547169811320753</v>
      </c>
      <c r="J22" s="281">
        <f>HLOOKUP($C22,'[2]Interest shifted to EU'!$L$2:$AT$8,J$2,0)/E106</f>
        <v>1.7688679245283019</v>
      </c>
      <c r="K22" s="281">
        <f>HLOOKUP($C22,'[2]Interest shifted to EU'!$L$2:$AT$8,K$2,0)/E106</f>
        <v>0</v>
      </c>
      <c r="L22" s="308">
        <f t="shared" si="5"/>
        <v>20.357555350801892</v>
      </c>
      <c r="M22" s="290">
        <f>AC22*'[2]Non-EU tax havens'!$K$8</f>
        <v>2.9001886989316943</v>
      </c>
      <c r="N22" s="295">
        <f>AC22*'[2]Non-EU tax havens'!$K$13</f>
        <v>17.457366651870199</v>
      </c>
      <c r="O22" s="308">
        <f t="shared" si="2"/>
        <v>590.37890014345112</v>
      </c>
      <c r="P22" s="308">
        <f t="shared" si="6"/>
        <v>282.66509433962267</v>
      </c>
      <c r="Q22" s="281">
        <f>HLOOKUP($C22,'[2]Non EU income shifted to EU'!$B$2:$AI$9,Q$2+1,0)/E106</f>
        <v>11.79245283018868</v>
      </c>
      <c r="R22" s="281">
        <f>HLOOKUP($C22,'[2]Non EU income shifted to EU'!$B$2:$AI$9,R$2+1,0)/E106</f>
        <v>0</v>
      </c>
      <c r="S22" s="281">
        <f>HLOOKUP($C22,'[2]Non EU income shifted to EU'!$B$2:$AI$9,S$2+1,0)/E106</f>
        <v>96.816037735849051</v>
      </c>
      <c r="T22" s="281">
        <f>HLOOKUP($C22,'[2]Non EU income shifted to EU'!$B$2:$AI$9,T$2+1,0)/E106</f>
        <v>53.066037735849058</v>
      </c>
      <c r="U22" s="281">
        <f>HLOOKUP($C22,'[2]Non EU income shifted to EU'!$B$2:$AI$9,U$2+1,0)/E106</f>
        <v>0.35377358490566035</v>
      </c>
      <c r="V22" s="281">
        <f>HLOOKUP($C22,'[2]Non EU income shifted to EU'!$B$2:$AI$9,V$2+1,0)/E106</f>
        <v>120.63679245283019</v>
      </c>
      <c r="W22" s="308">
        <f t="shared" si="7"/>
        <v>307.71380580382839</v>
      </c>
      <c r="X22" s="290">
        <f>IFERROR(IFERROR(VLOOKUP(C22,'[2]Swiss pivot'!$E$3:$H$54,3,0),VLOOKUP($C22,'[2]Breakdown non-EU havens'!$F$4:$H$31,3,0)/$E$106),AK22*'[2]Non-EU tax havens'!$I$8)</f>
        <v>56.840424461356591</v>
      </c>
      <c r="Y22" s="289">
        <f>AE22*'[2]Non-EU tax havens'!$I$13</f>
        <v>250.87338134247179</v>
      </c>
      <c r="Z22" s="266"/>
      <c r="AA22" s="49">
        <f>+'[2]CDIS Table-4'!O19</f>
        <v>2.9676185886762328E-4</v>
      </c>
      <c r="AB22" s="52">
        <f>+AA22</f>
        <v>2.9676185886762328E-4</v>
      </c>
      <c r="AC22" s="52">
        <f t="shared" si="8"/>
        <v>5.9088641435387607E-4</v>
      </c>
      <c r="AD22" s="52">
        <f t="shared" si="9"/>
        <v>2.9676185886762328E-4</v>
      </c>
      <c r="AE22" s="52">
        <f t="shared" si="10"/>
        <v>7.5042504801837431E-4</v>
      </c>
      <c r="AF22" s="52"/>
      <c r="AG22" s="49">
        <f t="shared" si="18"/>
        <v>2.9676185886762328E-4</v>
      </c>
      <c r="AH22" s="52">
        <f>+AG22</f>
        <v>2.9676185886762328E-4</v>
      </c>
      <c r="AI22" s="52">
        <f t="shared" si="11"/>
        <v>5.9088641435387607E-4</v>
      </c>
      <c r="AJ22" s="52">
        <f>+AH22</f>
        <v>2.9676185886762328E-4</v>
      </c>
      <c r="AK22" s="52">
        <f t="shared" si="12"/>
        <v>1.9558741964414718E-3</v>
      </c>
      <c r="AL22" s="52"/>
      <c r="AM22" s="49">
        <f>+'[2]CDIS Table-4'!U19</f>
        <v>0</v>
      </c>
      <c r="AN22" s="52">
        <f>+AM22</f>
        <v>0</v>
      </c>
      <c r="AO22" s="52">
        <f t="shared" si="13"/>
        <v>0</v>
      </c>
      <c r="AP22" s="52">
        <f t="shared" si="14"/>
        <v>0</v>
      </c>
      <c r="AQ22" s="52">
        <f t="shared" si="15"/>
        <v>0</v>
      </c>
      <c r="AR22" s="52">
        <v>0</v>
      </c>
      <c r="AS22" s="52">
        <f t="shared" si="16"/>
        <v>0</v>
      </c>
      <c r="AT22" s="52">
        <v>0</v>
      </c>
      <c r="AU22" s="52">
        <f>+AT22/$AT$102</f>
        <v>0</v>
      </c>
    </row>
    <row r="23" spans="1:47" x14ac:dyDescent="0.35">
      <c r="C23" s="311" t="s">
        <v>46</v>
      </c>
      <c r="D23" s="308">
        <f t="shared" si="0"/>
        <v>6623.7028301886785</v>
      </c>
      <c r="E23" s="308">
        <f t="shared" si="4"/>
        <v>6313.3254716981128</v>
      </c>
      <c r="F23" s="281">
        <f>VLOOKUP($C23,'[2]Breakdown EU havens'!$S$4:$Y$31,F$2,0)/E106</f>
        <v>122.05188679245283</v>
      </c>
      <c r="G23" s="281">
        <f>VLOOKUP($C23,'[2]Breakdown EU havens'!$S$4:$Y$31,G$2,0)/E106</f>
        <v>2.476415094339623</v>
      </c>
      <c r="H23" s="281">
        <f>VLOOKUP($C23,'[2]Breakdown EU havens'!$S$4:$Y$31,H$2,0)/E106</f>
        <v>0</v>
      </c>
      <c r="I23" s="281">
        <f>VLOOKUP($C23,'[2]Breakdown EU havens'!$S$4:$Y$31,I$2,0)/E106</f>
        <v>867.80660377358492</v>
      </c>
      <c r="J23" s="281">
        <f>VLOOKUP($C23,'[2]Breakdown EU havens'!$S$4:$Y$31,J$2,0)/E106</f>
        <v>7.3113207547169807</v>
      </c>
      <c r="K23" s="281">
        <f>VLOOKUP($C23,'[2]Breakdown EU havens'!$S$4:$Y$31,K$2,0)/E106</f>
        <v>5313.6792452830186</v>
      </c>
      <c r="L23" s="308">
        <f t="shared" si="5"/>
        <v>310.37735849056605</v>
      </c>
      <c r="M23" s="290">
        <f>VLOOKUP($C23,'[2]Breakdown non-EU havens'!$K$4:$M$31,3,0)/E106</f>
        <v>200.70754716981131</v>
      </c>
      <c r="N23" s="295">
        <f>VLOOKUP($C23,'[2]Breakdown non-EU havens'!$K$4:$M$31,2,0)/E106</f>
        <v>109.66981132075472</v>
      </c>
      <c r="O23" s="308">
        <f t="shared" si="2"/>
        <v>85715.085523140035</v>
      </c>
      <c r="P23" s="308">
        <f t="shared" si="6"/>
        <v>34860.613207547169</v>
      </c>
      <c r="Q23" s="281">
        <f>VLOOKUP($C23,'[2]Breakdown EU havens'!$J$4:$P$31,Q$2,0)/E106</f>
        <v>3570.7547169811323</v>
      </c>
      <c r="R23" s="281">
        <f>VLOOKUP($C23,'[2]Breakdown EU havens'!$J$4:$P$31,R$2,0)/E106</f>
        <v>37.382075471698116</v>
      </c>
      <c r="S23" s="281">
        <f>VLOOKUP($C23,'[2]Breakdown EU havens'!$J$4:$P$31,S$2,0)/E106</f>
        <v>0</v>
      </c>
      <c r="T23" s="281">
        <f>VLOOKUP($C23,'[2]Breakdown EU havens'!$J$4:$P$31,T$2,0)/E106</f>
        <v>1142.6886792452831</v>
      </c>
      <c r="U23" s="281">
        <f>VLOOKUP($C23,'[2]Breakdown EU havens'!$J$4:$P$31,U$2,0)/E106</f>
        <v>380.89622641509436</v>
      </c>
      <c r="V23" s="281">
        <f>VLOOKUP($C23,'[2]Breakdown EU havens'!$J$4:$P$31,V$2,0)/E106</f>
        <v>29728.891509433961</v>
      </c>
      <c r="W23" s="308">
        <f t="shared" si="7"/>
        <v>50854.472315592866</v>
      </c>
      <c r="X23" s="290">
        <f>IFERROR(IFERROR(VLOOKUP(C23,'[2]Swiss pivot'!$E$3:$H$54,3,0),VLOOKUP($C23,'[2]Breakdown non-EU havens'!$F$4:$H$31,3,0)/$E$106),AK23*'[2]Non-EU tax havens'!$I$8)</f>
        <v>5109.189296724936</v>
      </c>
      <c r="Y23" s="289">
        <f>VLOOKUP($C23,'[2]Breakdown non-EU havens'!$F$4:$H$31,2,0)/E106</f>
        <v>45745.283018867929</v>
      </c>
      <c r="Z23" s="266"/>
      <c r="AA23" s="49">
        <f>+'[2]CDIS Table-4'!O20</f>
        <v>2.9830831694854485E-2</v>
      </c>
      <c r="AB23" s="52"/>
      <c r="AC23" s="52">
        <f t="shared" si="8"/>
        <v>0</v>
      </c>
      <c r="AD23" s="52">
        <f t="shared" si="9"/>
        <v>0</v>
      </c>
      <c r="AE23" s="52">
        <f t="shared" si="10"/>
        <v>0</v>
      </c>
      <c r="AF23" s="52"/>
      <c r="AG23" s="49">
        <f t="shared" si="18"/>
        <v>2.9830831694854485E-2</v>
      </c>
      <c r="AH23" s="52"/>
      <c r="AI23" s="52">
        <f t="shared" si="11"/>
        <v>0</v>
      </c>
      <c r="AJ23" s="52"/>
      <c r="AK23" s="52">
        <f t="shared" si="12"/>
        <v>0</v>
      </c>
      <c r="AL23" s="52"/>
      <c r="AM23" s="49">
        <f>+'[2]CDIS Table-4'!U20</f>
        <v>0</v>
      </c>
      <c r="AN23" s="52"/>
      <c r="AO23" s="52">
        <f t="shared" si="13"/>
        <v>0</v>
      </c>
      <c r="AP23" s="52">
        <f t="shared" si="14"/>
        <v>0</v>
      </c>
      <c r="AQ23" s="52">
        <f t="shared" si="15"/>
        <v>0</v>
      </c>
      <c r="AR23" s="52"/>
      <c r="AS23" s="52">
        <f t="shared" si="16"/>
        <v>0</v>
      </c>
      <c r="AT23" s="52"/>
      <c r="AU23" s="52">
        <f>+AT23/$AB$102</f>
        <v>0</v>
      </c>
    </row>
    <row r="24" spans="1:47" x14ac:dyDescent="0.35">
      <c r="C24" s="311" t="s">
        <v>47</v>
      </c>
      <c r="D24" s="308">
        <f t="shared" si="0"/>
        <v>514.58235889866251</v>
      </c>
      <c r="E24" s="308">
        <f t="shared" si="4"/>
        <v>268.6269849025752</v>
      </c>
      <c r="F24" s="281">
        <f>AS24*'[2]Interest shifted to EU'!$AU$3</f>
        <v>44.603403347992</v>
      </c>
      <c r="G24" s="281">
        <f>AS24*'[2]Interest shifted to EU'!$AU$4</f>
        <v>29.351150393076065</v>
      </c>
      <c r="H24" s="281">
        <f>AS24*'[2]Interest shifted to EU'!$AU$5</f>
        <v>-54.910207647727795</v>
      </c>
      <c r="I24" s="281">
        <f>AS24*'[2]Interest shifted to EU'!$AU$6</f>
        <v>59.153157942702094</v>
      </c>
      <c r="J24" s="281">
        <f>AS24*'[2]Interest shifted to EU'!$AU$7</f>
        <v>160.09623077585559</v>
      </c>
      <c r="K24" s="281">
        <f>AS24*'[2]Interest shifted to EU'!$AU$8</f>
        <v>30.333250090677257</v>
      </c>
      <c r="L24" s="308">
        <f t="shared" si="5"/>
        <v>245.95537399608736</v>
      </c>
      <c r="M24" s="290">
        <f>AC24*'[2]Non-EU tax havens'!$K$8</f>
        <v>35.039423143549158</v>
      </c>
      <c r="N24" s="295">
        <f>AC24*'[2]Non-EU tax havens'!$K$13</f>
        <v>210.9159508525382</v>
      </c>
      <c r="O24" s="308">
        <f t="shared" si="2"/>
        <v>5291.5391313784803</v>
      </c>
      <c r="P24" s="308">
        <f t="shared" si="6"/>
        <v>1651.5946149441324</v>
      </c>
      <c r="Q24" s="281">
        <f>AU24*'[2]Non EU income shifted to EU'!$AJ$4</f>
        <v>93.778288562397734</v>
      </c>
      <c r="R24" s="281">
        <f>AU24*'[2]Non EU income shifted to EU'!$AJ$5</f>
        <v>47.948134346583792</v>
      </c>
      <c r="S24" s="281">
        <f>AU24*'[2]Non EU income shifted to EU'!$AJ$6</f>
        <v>1093.7619867066869</v>
      </c>
      <c r="T24" s="281">
        <f>AU24*'[2]Non EU income shifted to EU'!$AJ$7</f>
        <v>70.704188193847202</v>
      </c>
      <c r="U24" s="281">
        <f>AU24*'[2]Non EU income shifted to EU'!$AJ$8</f>
        <v>-11.512585067253209</v>
      </c>
      <c r="V24" s="281">
        <f>AU24*'[2]Non EU income shifted to EU'!$AJ$9</f>
        <v>356.91460220187014</v>
      </c>
      <c r="W24" s="308">
        <f t="shared" si="7"/>
        <v>3639.9445164343483</v>
      </c>
      <c r="X24" s="290">
        <f>IFERROR(IFERROR(VLOOKUP(C24,'[2]Swiss pivot'!$E$3:$H$54,3,0),VLOOKUP($C24,'[2]Breakdown non-EU havens'!$F$4:$H$31,3,0)/$E$106),AK24*'[2]Non-EU tax havens'!$I$8)</f>
        <v>608.94913066863319</v>
      </c>
      <c r="Y24" s="289">
        <f>AE24*'[2]Non-EU tax havens'!$I$13</f>
        <v>3030.9953857657151</v>
      </c>
      <c r="Z24" s="266"/>
      <c r="AA24" s="49">
        <f>+'[2]CDIS Table-4'!O21</f>
        <v>3.5854095802659949E-3</v>
      </c>
      <c r="AB24" s="52">
        <f>+AA24</f>
        <v>3.5854095802659949E-3</v>
      </c>
      <c r="AC24" s="52">
        <f t="shared" si="8"/>
        <v>7.138955858267626E-3</v>
      </c>
      <c r="AD24" s="52">
        <f t="shared" si="9"/>
        <v>3.5854095802659949E-3</v>
      </c>
      <c r="AE24" s="52">
        <f t="shared" si="10"/>
        <v>9.0664655043721006E-3</v>
      </c>
      <c r="AF24" s="52"/>
      <c r="AG24" s="49">
        <f t="shared" si="18"/>
        <v>3.5854095802659949E-3</v>
      </c>
      <c r="AH24" s="52">
        <f>+AG24</f>
        <v>3.5854095802659949E-3</v>
      </c>
      <c r="AI24" s="52">
        <f t="shared" si="11"/>
        <v>7.138955858267626E-3</v>
      </c>
      <c r="AJ24" s="52"/>
      <c r="AK24" s="52">
        <f t="shared" si="12"/>
        <v>0</v>
      </c>
      <c r="AL24" s="52"/>
      <c r="AM24" s="49">
        <f>+'[2]CDIS Table-4'!U21</f>
        <v>0</v>
      </c>
      <c r="AN24" s="52">
        <f>+AM24</f>
        <v>0</v>
      </c>
      <c r="AO24" s="52">
        <f t="shared" si="13"/>
        <v>0</v>
      </c>
      <c r="AP24" s="52">
        <f t="shared" si="14"/>
        <v>0</v>
      </c>
      <c r="AQ24" s="52">
        <f t="shared" si="15"/>
        <v>0</v>
      </c>
      <c r="AR24" s="52">
        <f>+AB24</f>
        <v>3.5854095802659949E-3</v>
      </c>
      <c r="AS24" s="52">
        <f t="shared" si="16"/>
        <v>3.4950167174417797E-2</v>
      </c>
      <c r="AT24" s="52">
        <f>+AD24</f>
        <v>3.5854095802659949E-3</v>
      </c>
      <c r="AU24" s="52">
        <f>+AT24/$AT$102</f>
        <v>3.4950167174417797E-2</v>
      </c>
    </row>
    <row r="25" spans="1:47" x14ac:dyDescent="0.35">
      <c r="C25" s="311" t="s">
        <v>48</v>
      </c>
      <c r="D25" s="308">
        <f t="shared" si="0"/>
        <v>2642.4528301886794</v>
      </c>
      <c r="E25" s="308">
        <f t="shared" si="4"/>
        <v>2221.1084905660377</v>
      </c>
      <c r="F25" s="281">
        <f>VLOOKUP($C25,'[2]Breakdown EU havens'!$S$4:$Y$31,F$2,0)/E106</f>
        <v>334.55188679245282</v>
      </c>
      <c r="G25" s="281">
        <f>VLOOKUP($C25,'[2]Breakdown EU havens'!$S$4:$Y$31,G$2,0)/E106</f>
        <v>1.6509433962264151</v>
      </c>
      <c r="H25" s="281">
        <f>VLOOKUP($C25,'[2]Breakdown EU havens'!$S$4:$Y$31,H$2,0)/E106</f>
        <v>183.84433962264151</v>
      </c>
      <c r="I25" s="281">
        <f>VLOOKUP($C25,'[2]Breakdown EU havens'!$S$4:$Y$31,I$2,0)/E106</f>
        <v>747.16981132075466</v>
      </c>
      <c r="J25" s="281">
        <f>VLOOKUP($C25,'[2]Breakdown EU havens'!$S$4:$Y$31,J$2,0)/E106</f>
        <v>4.5990566037735849</v>
      </c>
      <c r="K25" s="281">
        <f>VLOOKUP($C25,'[2]Breakdown EU havens'!$S$4:$Y$31,K$2,0)/E106</f>
        <v>949.29245283018872</v>
      </c>
      <c r="L25" s="308">
        <f t="shared" si="5"/>
        <v>421.34433962264154</v>
      </c>
      <c r="M25" s="290">
        <f>VLOOKUP($C25,'[2]Breakdown non-EU havens'!$K$4:$M$31,3,0)/E106</f>
        <v>377.83018867924534</v>
      </c>
      <c r="N25" s="295">
        <f>VLOOKUP($C25,'[2]Breakdown non-EU havens'!$K$4:$M$31,2,0)/E106</f>
        <v>43.514150943396231</v>
      </c>
      <c r="O25" s="308">
        <f t="shared" si="2"/>
        <v>25182.812758340096</v>
      </c>
      <c r="P25" s="308">
        <f t="shared" si="6"/>
        <v>21835.49528301887</v>
      </c>
      <c r="Q25" s="281">
        <f>VLOOKUP($C25,'[2]Breakdown EU havens'!$J$4:$P$31,Q$2,0)/E106</f>
        <v>1753.5377358490566</v>
      </c>
      <c r="R25" s="281">
        <f>VLOOKUP($C25,'[2]Breakdown EU havens'!$J$4:$P$31,R$2,0)/E106</f>
        <v>47.169811320754718</v>
      </c>
      <c r="S25" s="281">
        <f>VLOOKUP($C25,'[2]Breakdown EU havens'!$J$4:$P$31,S$2,0)/E106</f>
        <v>6016.5094339622647</v>
      </c>
      <c r="T25" s="281">
        <f>VLOOKUP($C25,'[2]Breakdown EU havens'!$J$4:$P$31,T$2,0)/E106</f>
        <v>9938.6792452830196</v>
      </c>
      <c r="U25" s="281">
        <f>VLOOKUP($C25,'[2]Breakdown EU havens'!$J$4:$P$31,U$2,0)/E106</f>
        <v>232.07547169811323</v>
      </c>
      <c r="V25" s="281">
        <f>VLOOKUP($C25,'[2]Breakdown EU havens'!$J$4:$P$31,V$2,0)/E106</f>
        <v>3847.5235849056603</v>
      </c>
      <c r="W25" s="308">
        <f t="shared" si="7"/>
        <v>3347.3174753212247</v>
      </c>
      <c r="X25" s="290">
        <f>IFERROR(IFERROR(VLOOKUP(C25,'[2]Swiss pivot'!$E$3:$H$54,3,0),VLOOKUP($C25,'[2]Breakdown non-EU havens'!$F$4:$H$31,3,0)/$E$106),AK25*'[2]Non-EU tax havens'!$I$8)</f>
        <v>2241.892947019338</v>
      </c>
      <c r="Y25" s="289">
        <f>VLOOKUP($C25,'[2]Breakdown non-EU havens'!$F$4:$H$31,2,0)/E106</f>
        <v>1105.4245283018868</v>
      </c>
      <c r="Z25" s="266"/>
      <c r="AA25" s="49">
        <f>+'[2]CDIS Table-4'!O22</f>
        <v>1.1975697569500557E-2</v>
      </c>
      <c r="AB25" s="52"/>
      <c r="AC25" s="52">
        <f t="shared" si="8"/>
        <v>0</v>
      </c>
      <c r="AD25" s="52">
        <f t="shared" si="9"/>
        <v>0</v>
      </c>
      <c r="AE25" s="52">
        <f t="shared" si="10"/>
        <v>0</v>
      </c>
      <c r="AF25" s="52"/>
      <c r="AG25" s="49">
        <f t="shared" si="18"/>
        <v>1.1975697569500557E-2</v>
      </c>
      <c r="AH25" s="52"/>
      <c r="AI25" s="52">
        <f t="shared" si="11"/>
        <v>0</v>
      </c>
      <c r="AJ25" s="52"/>
      <c r="AK25" s="52">
        <f t="shared" si="12"/>
        <v>0</v>
      </c>
      <c r="AL25" s="52"/>
      <c r="AM25" s="49">
        <f>+'[2]CDIS Table-4'!U22</f>
        <v>0</v>
      </c>
      <c r="AN25" s="52"/>
      <c r="AO25" s="52">
        <f t="shared" si="13"/>
        <v>0</v>
      </c>
      <c r="AP25" s="52">
        <f t="shared" si="14"/>
        <v>0</v>
      </c>
      <c r="AQ25" s="52">
        <f t="shared" si="15"/>
        <v>0</v>
      </c>
      <c r="AR25" s="52"/>
      <c r="AS25" s="52">
        <f t="shared" si="16"/>
        <v>0</v>
      </c>
      <c r="AT25" s="52"/>
      <c r="AU25" s="52">
        <f t="shared" ref="AU25:AU46" si="19">+AT25/$AB$102</f>
        <v>0</v>
      </c>
    </row>
    <row r="26" spans="1:47" x14ac:dyDescent="0.35">
      <c r="C26" s="311" t="s">
        <v>49</v>
      </c>
      <c r="D26" s="308">
        <f t="shared" si="0"/>
        <v>736.25576722695394</v>
      </c>
      <c r="E26" s="308">
        <f t="shared" si="4"/>
        <v>344.69339622641508</v>
      </c>
      <c r="F26" s="281">
        <f>HLOOKUP($C26,'[2]Interest shifted to EU'!$L$2:$AT$8,F$2,0)/E106</f>
        <v>17.688679245283019</v>
      </c>
      <c r="G26" s="281">
        <f>HLOOKUP($C26,'[2]Interest shifted to EU'!$L$2:$AT$8,G$2,0)/E106</f>
        <v>0</v>
      </c>
      <c r="H26" s="281">
        <f>HLOOKUP($C26,'[2]Interest shifted to EU'!$L$2:$AT$8,H$2,0)/E106</f>
        <v>0</v>
      </c>
      <c r="I26" s="281">
        <f>HLOOKUP($C26,'[2]Interest shifted to EU'!$L$2:$AT$8,I$2,0)/E106</f>
        <v>0</v>
      </c>
      <c r="J26" s="281">
        <f>HLOOKUP($C26,'[2]Interest shifted to EU'!$L$2:$AT$8,J$2,0)/E106</f>
        <v>32.193396226415096</v>
      </c>
      <c r="K26" s="281">
        <f>HLOOKUP($C26,'[2]Interest shifted to EU'!$L$2:$AT$8,K$2,0)/E106</f>
        <v>294.81132075471697</v>
      </c>
      <c r="L26" s="308">
        <f t="shared" si="5"/>
        <v>391.56237100053886</v>
      </c>
      <c r="M26" s="290">
        <f>AC26*'[2]Non-EU tax havens'!$K$8</f>
        <v>55.782963314302378</v>
      </c>
      <c r="N26" s="295">
        <f>AC26*'[2]Non-EU tax havens'!$K$13</f>
        <v>335.77940768623648</v>
      </c>
      <c r="O26" s="308">
        <f t="shared" si="2"/>
        <v>17264.97583681755</v>
      </c>
      <c r="P26" s="308">
        <f t="shared" si="6"/>
        <v>10525.943396226414</v>
      </c>
      <c r="Q26" s="281">
        <f>HLOOKUP($C26,'[2]Non EU income shifted to EU'!$B$2:$AI$9,Q$2+1,0)/E106</f>
        <v>1446.933962264151</v>
      </c>
      <c r="R26" s="281">
        <f>HLOOKUP($C26,'[2]Non EU income shifted to EU'!$B$2:$AI$9,R$2+1,0)/E106</f>
        <v>7.0754716981132075</v>
      </c>
      <c r="S26" s="281">
        <f>HLOOKUP($C26,'[2]Non EU income shifted to EU'!$B$2:$AI$9,S$2+1,0)/E106</f>
        <v>5917.4528301886794</v>
      </c>
      <c r="T26" s="281">
        <f>HLOOKUP($C26,'[2]Non EU income shifted to EU'!$B$2:$AI$9,T$2+1,0)/E106</f>
        <v>1074.5283018867926</v>
      </c>
      <c r="U26" s="281">
        <f>HLOOKUP($C26,'[2]Non EU income shifted to EU'!$B$2:$AI$9,U$2+1,0)/E106</f>
        <v>2.358490566037736</v>
      </c>
      <c r="V26" s="281">
        <f>HLOOKUP($C26,'[2]Non EU income shifted to EU'!$B$2:$AI$9,V$2+1,0)/E106</f>
        <v>2077.5943396226417</v>
      </c>
      <c r="W26" s="308">
        <f t="shared" si="7"/>
        <v>6739.0324405911369</v>
      </c>
      <c r="X26" s="290">
        <f>IFERROR(IFERROR(VLOOKUP(C26,'[2]Swiss pivot'!$E$3:$H$54,3,0),VLOOKUP($C26,'[2]Breakdown non-EU havens'!$F$4:$H$31,3,0)/$E$106),AK26*'[2]Non-EU tax havens'!$I$8)</f>
        <v>1913.6703415259778</v>
      </c>
      <c r="Y26" s="289">
        <f>AE26*'[2]Non-EU tax havens'!$I$13</f>
        <v>4825.3620990651589</v>
      </c>
      <c r="Z26" s="266"/>
      <c r="AA26" s="49">
        <f>+'[2]CDIS Table-4'!O23</f>
        <v>5.7079926876463898E-3</v>
      </c>
      <c r="AB26" s="52">
        <f>+AA26</f>
        <v>5.7079926876463898E-3</v>
      </c>
      <c r="AC26" s="52">
        <f t="shared" si="8"/>
        <v>1.1365258814698338E-2</v>
      </c>
      <c r="AD26" s="52">
        <f t="shared" si="9"/>
        <v>5.7079926876463898E-3</v>
      </c>
      <c r="AE26" s="52">
        <f t="shared" si="10"/>
        <v>1.4433865265098905E-2</v>
      </c>
      <c r="AF26" s="52"/>
      <c r="AG26" s="49">
        <f t="shared" si="18"/>
        <v>5.7079926876463898E-3</v>
      </c>
      <c r="AH26" s="52">
        <f>+AG26</f>
        <v>5.7079926876463898E-3</v>
      </c>
      <c r="AI26" s="52">
        <f t="shared" si="11"/>
        <v>1.1365258814698338E-2</v>
      </c>
      <c r="AJ26" s="52"/>
      <c r="AK26" s="52">
        <f t="shared" si="12"/>
        <v>0</v>
      </c>
      <c r="AL26" s="52"/>
      <c r="AM26" s="49">
        <f>+'[2]CDIS Table-4'!U23</f>
        <v>0</v>
      </c>
      <c r="AN26" s="52">
        <f>+AM26</f>
        <v>0</v>
      </c>
      <c r="AO26" s="52">
        <f t="shared" si="13"/>
        <v>0</v>
      </c>
      <c r="AP26" s="52">
        <f t="shared" si="14"/>
        <v>0</v>
      </c>
      <c r="AQ26" s="52">
        <f t="shared" si="15"/>
        <v>0</v>
      </c>
      <c r="AR26" s="52"/>
      <c r="AS26" s="52">
        <f t="shared" si="16"/>
        <v>0</v>
      </c>
      <c r="AT26" s="52"/>
      <c r="AU26" s="52">
        <f t="shared" si="19"/>
        <v>0</v>
      </c>
    </row>
    <row r="27" spans="1:47" x14ac:dyDescent="0.35">
      <c r="A27" s="320" t="s">
        <v>298</v>
      </c>
      <c r="B27" s="253" t="s">
        <v>389</v>
      </c>
      <c r="C27" s="311" t="s">
        <v>50</v>
      </c>
      <c r="D27" s="308">
        <f t="shared" si="0"/>
        <v>453.72747522418956</v>
      </c>
      <c r="E27" s="308">
        <f t="shared" si="4"/>
        <v>43.75</v>
      </c>
      <c r="F27" s="281">
        <f>HLOOKUP($B27,'[2]Interest shifted to EU'!$L$2:$AT$8,F$2,0)/E106</f>
        <v>5.3066037735849054</v>
      </c>
      <c r="G27" s="281">
        <f>HLOOKUP($B27,'[2]Interest shifted to EU'!$L$2:$AT$8,G$2,0)/E106</f>
        <v>0</v>
      </c>
      <c r="H27" s="281">
        <f>HLOOKUP($B27,'[2]Interest shifted to EU'!$L$2:$AT$8,H$2,0)/E106</f>
        <v>0</v>
      </c>
      <c r="I27" s="281">
        <f>HLOOKUP($B27,'[2]Interest shifted to EU'!$L$2:$AT$8,I$2,0)/E106</f>
        <v>14.504716981132077</v>
      </c>
      <c r="J27" s="281">
        <f>HLOOKUP($B27,'[2]Interest shifted to EU'!$L$2:$AT$8,J$2,0)/E106</f>
        <v>3.891509433962264</v>
      </c>
      <c r="K27" s="281">
        <f>HLOOKUP($B27,'[2]Interest shifted to EU'!$L$2:$AT$8,K$2,0)/E106</f>
        <v>20.047169811320757</v>
      </c>
      <c r="L27" s="308">
        <f t="shared" si="5"/>
        <v>409.97747522418956</v>
      </c>
      <c r="M27" s="290">
        <f>AC27*'[2]Non-EU tax havens'!$K$8</f>
        <v>58.406425524708567</v>
      </c>
      <c r="N27" s="295">
        <f>AC27*'[2]Non-EU tax havens'!$K$13</f>
        <v>351.57104969948097</v>
      </c>
      <c r="O27" s="308">
        <f t="shared" si="2"/>
        <v>8414.9224988912574</v>
      </c>
      <c r="P27" s="308">
        <f t="shared" si="6"/>
        <v>2217.9245283018868</v>
      </c>
      <c r="Q27" s="281">
        <f>HLOOKUP($B27,'[2]Non EU income shifted to EU'!$B$2:$AI$9,Q$2+1,0)/E106</f>
        <v>194.5754716981132</v>
      </c>
      <c r="R27" s="281">
        <f>HLOOKUP($B27,'[2]Non EU income shifted to EU'!$B$2:$AI$9,R$2+1,0)/E106</f>
        <v>23.584905660377359</v>
      </c>
      <c r="S27" s="281">
        <f>HLOOKUP($B27,'[2]Non EU income shifted to EU'!$B$2:$AI$9,S$2+1,0)/E106</f>
        <v>860.37735849056605</v>
      </c>
      <c r="T27" s="281">
        <f>HLOOKUP($B27,'[2]Non EU income shifted to EU'!$B$2:$AI$9,T$2+1,0)/E106</f>
        <v>167.45283018867926</v>
      </c>
      <c r="U27" s="281">
        <f>HLOOKUP($B27,'[2]Non EU income shifted to EU'!$B$2:$AI$9,U$2+1,0)/E106</f>
        <v>0</v>
      </c>
      <c r="V27" s="281">
        <f>HLOOKUP($B27,'[2]Non EU income shifted to EU'!$B$2:$AI$9,V$2+1,0)/E106</f>
        <v>971.93396226415098</v>
      </c>
      <c r="W27" s="308">
        <f t="shared" si="7"/>
        <v>6196.9979705893702</v>
      </c>
      <c r="X27" s="290">
        <f>IFERROR(IFERROR(VLOOKUP(C27,'[2]Swiss pivot'!$E$3:$H$54,3,0),VLOOKUP($C27,'[2]Breakdown non-EU havens'!$F$4:$H$31,3,0)/$E$106),AK27*'[2]Non-EU tax havens'!$I$8)</f>
        <v>1144.7000049748267</v>
      </c>
      <c r="Y27" s="289">
        <f>AE27*'[2]Non-EU tax havens'!$I$13</f>
        <v>5052.2979656145435</v>
      </c>
      <c r="Z27" s="266"/>
      <c r="AA27" s="49">
        <f>+'[2]CDIS Table-4'!O24</f>
        <v>5.9764385037810045E-3</v>
      </c>
      <c r="AB27" s="52">
        <f>+AA27</f>
        <v>5.9764385037810045E-3</v>
      </c>
      <c r="AC27" s="52">
        <f t="shared" si="8"/>
        <v>1.1899764786420393E-2</v>
      </c>
      <c r="AD27" s="52">
        <f t="shared" si="9"/>
        <v>5.9764385037810045E-3</v>
      </c>
      <c r="AE27" s="52">
        <f t="shared" si="10"/>
        <v>1.5112687217595875E-2</v>
      </c>
      <c r="AF27" s="52"/>
      <c r="AG27" s="49">
        <f t="shared" si="18"/>
        <v>5.9764385037810045E-3</v>
      </c>
      <c r="AH27" s="52">
        <f>+AG27</f>
        <v>5.9764385037810045E-3</v>
      </c>
      <c r="AI27" s="52">
        <f t="shared" si="11"/>
        <v>1.1899764786420393E-2</v>
      </c>
      <c r="AJ27" s="52">
        <f>+AH27</f>
        <v>5.9764385037810045E-3</v>
      </c>
      <c r="AK27" s="52">
        <f t="shared" si="12"/>
        <v>3.9389030318005711E-2</v>
      </c>
      <c r="AL27" s="52"/>
      <c r="AM27" s="49">
        <f>+'[2]CDIS Table-4'!U24</f>
        <v>0</v>
      </c>
      <c r="AN27" s="52">
        <f>+AM27</f>
        <v>0</v>
      </c>
      <c r="AO27" s="52">
        <f t="shared" si="13"/>
        <v>0</v>
      </c>
      <c r="AP27" s="52">
        <f t="shared" si="14"/>
        <v>0</v>
      </c>
      <c r="AQ27" s="52">
        <f t="shared" si="15"/>
        <v>0</v>
      </c>
      <c r="AR27" s="52"/>
      <c r="AS27" s="52">
        <f t="shared" si="16"/>
        <v>0</v>
      </c>
      <c r="AT27" s="52"/>
      <c r="AU27" s="52">
        <f t="shared" si="19"/>
        <v>0</v>
      </c>
    </row>
    <row r="28" spans="1:47" x14ac:dyDescent="0.35">
      <c r="C28" s="297" t="s">
        <v>51</v>
      </c>
      <c r="D28" s="308">
        <f t="shared" si="0"/>
        <v>2.1226415094339623</v>
      </c>
      <c r="E28" s="308">
        <f t="shared" si="4"/>
        <v>2.1226415094339623</v>
      </c>
      <c r="F28" s="281">
        <f>VLOOKUP($C28,'[2]Breakdown EU havens'!$S$4:$Y$31,F$2,0)/E106</f>
        <v>0.94339622641509446</v>
      </c>
      <c r="G28" s="281">
        <f>VLOOKUP($C28,'[2]Breakdown EU havens'!$S$4:$Y$31,G$2,0)/E106</f>
        <v>0</v>
      </c>
      <c r="H28" s="281">
        <f>VLOOKUP($C28,'[2]Breakdown EU havens'!$S$4:$Y$31,H$2,0)/E106</f>
        <v>0</v>
      </c>
      <c r="I28" s="281"/>
      <c r="J28" s="281">
        <f>VLOOKUP($C28,'[2]Breakdown EU havens'!$S$4:$Y$31,J$2,0)/E106</f>
        <v>0</v>
      </c>
      <c r="K28" s="281">
        <f>VLOOKUP($C28,'[2]Breakdown EU havens'!$S$4:$Y$31,K$2,0)/E106</f>
        <v>1.179245283018868</v>
      </c>
      <c r="L28" s="308">
        <f t="shared" si="5"/>
        <v>0</v>
      </c>
      <c r="M28" s="290">
        <f>VLOOKUP($C28,'[2]Breakdown non-EU havens'!$K$4:$M$31,3,0)/E106</f>
        <v>0</v>
      </c>
      <c r="N28" s="295">
        <f>VLOOKUP($C28,'[2]Breakdown non-EU havens'!$K$4:$M$31,2,0)/E106</f>
        <v>0</v>
      </c>
      <c r="O28" s="308">
        <f t="shared" si="2"/>
        <v>371.69811320754724</v>
      </c>
      <c r="P28" s="308">
        <f t="shared" si="6"/>
        <v>275.00000000000006</v>
      </c>
      <c r="Q28" s="281">
        <f>VLOOKUP($C28,'[2]Breakdown EU havens'!$J$4:$P$31,Q$2,0)/E106</f>
        <v>43.514150943396224</v>
      </c>
      <c r="R28" s="281">
        <f>VLOOKUP($C28,'[2]Breakdown EU havens'!$J$4:$P$31,R$2,0)/E106</f>
        <v>2.358490566037736</v>
      </c>
      <c r="S28" s="281">
        <f>VLOOKUP($C28,'[2]Breakdown EU havens'!$J$4:$P$31,S$2,0)/E106</f>
        <v>84.905660377358487</v>
      </c>
      <c r="T28" s="281">
        <f>VLOOKUP($C28,'[2]Breakdown EU havens'!$J$4:$P$31,T$2,0)/E106</f>
        <v>82.547169811320757</v>
      </c>
      <c r="U28" s="281">
        <f>VLOOKUP($C28,'[2]Breakdown EU havens'!$J$4:$P$31,U$2,0)/E106</f>
        <v>3.7735849056603779</v>
      </c>
      <c r="V28" s="281">
        <f>VLOOKUP($C28,'[2]Breakdown EU havens'!$J$4:$P$31,V$2,0)/E106</f>
        <v>57.900943396226417</v>
      </c>
      <c r="W28" s="308">
        <f t="shared" si="7"/>
        <v>96.698113207547181</v>
      </c>
      <c r="X28" s="290">
        <f>IFERROR(IFERROR(VLOOKUP(C28,'[2]Swiss pivot'!$E$3:$H$54,3,0),VLOOKUP($C28,'[2]Breakdown non-EU havens'!$F$4:$H$31,3,0)/$E$106),AK28*'[2]Non-EU tax havens'!$I$8)</f>
        <v>37.735849056603776</v>
      </c>
      <c r="Y28" s="289">
        <f>VLOOKUP($C28,'[2]Breakdown non-EU havens'!$F$4:$H$31,2,0)/E106</f>
        <v>58.962264150943398</v>
      </c>
      <c r="Z28" s="266"/>
      <c r="AA28" s="49">
        <f>+'[2]CDIS Table-4'!O25</f>
        <v>4.9674600230274215E-4</v>
      </c>
      <c r="AB28" s="52"/>
      <c r="AC28" s="52">
        <f t="shared" si="8"/>
        <v>0</v>
      </c>
      <c r="AD28" s="52">
        <f t="shared" si="9"/>
        <v>0</v>
      </c>
      <c r="AE28" s="52">
        <f t="shared" si="10"/>
        <v>0</v>
      </c>
      <c r="AF28" s="52"/>
      <c r="AG28" s="49">
        <f t="shared" si="18"/>
        <v>4.9674600230274215E-4</v>
      </c>
      <c r="AH28" s="52"/>
      <c r="AI28" s="52">
        <f t="shared" si="11"/>
        <v>0</v>
      </c>
      <c r="AJ28" s="52"/>
      <c r="AK28" s="52">
        <f t="shared" si="12"/>
        <v>0</v>
      </c>
      <c r="AL28" s="52"/>
      <c r="AM28" s="49">
        <f>+'[2]CDIS Table-4'!U25</f>
        <v>0</v>
      </c>
      <c r="AN28" s="52"/>
      <c r="AO28" s="52">
        <f t="shared" si="13"/>
        <v>0</v>
      </c>
      <c r="AP28" s="52">
        <f t="shared" si="14"/>
        <v>0</v>
      </c>
      <c r="AQ28" s="52">
        <f t="shared" si="15"/>
        <v>0</v>
      </c>
      <c r="AR28" s="52"/>
      <c r="AS28" s="52">
        <f t="shared" si="16"/>
        <v>0</v>
      </c>
      <c r="AT28" s="52"/>
      <c r="AU28" s="52">
        <f t="shared" si="19"/>
        <v>0</v>
      </c>
    </row>
    <row r="29" spans="1:47" x14ac:dyDescent="0.35">
      <c r="C29" s="297" t="s">
        <v>52</v>
      </c>
      <c r="D29" s="308">
        <f t="shared" si="0"/>
        <v>14109.198113207547</v>
      </c>
      <c r="E29" s="308">
        <f t="shared" si="4"/>
        <v>3697.0518867924529</v>
      </c>
      <c r="F29" s="281">
        <f>VLOOKUP($C29,'[2]Breakdown EU havens'!$S$4:$Y$31,F$2,0)/E106</f>
        <v>431.6037735849057</v>
      </c>
      <c r="G29" s="281">
        <f>VLOOKUP($C29,'[2]Breakdown EU havens'!$S$4:$Y$31,G$2,0)/E106</f>
        <v>0</v>
      </c>
      <c r="H29" s="281">
        <f>VLOOKUP($C29,'[2]Breakdown EU havens'!$S$4:$Y$31,H$2,0)/E106</f>
        <v>2016.0377358490566</v>
      </c>
      <c r="I29" s="281">
        <f>VLOOKUP($C29,'[2]Breakdown EU havens'!$S$4:$Y$31,I$2,0)/E106</f>
        <v>0</v>
      </c>
      <c r="J29" s="281">
        <f>VLOOKUP($C29,'[2]Breakdown EU havens'!$S$4:$Y$31,J$2,0)/E106</f>
        <v>1.7688679245283019</v>
      </c>
      <c r="K29" s="281">
        <f>VLOOKUP($C29,'[2]Breakdown EU havens'!$S$4:$Y$31,K$2,0)/E106</f>
        <v>1247.6415094339623</v>
      </c>
      <c r="L29" s="308">
        <f t="shared" si="5"/>
        <v>10412.146226415094</v>
      </c>
      <c r="M29" s="290">
        <f>VLOOKUP($C29,'[2]Breakdown non-EU havens'!$K$4:$M$31,3,0)/E106</f>
        <v>1277.7122641509434</v>
      </c>
      <c r="N29" s="295">
        <f>VLOOKUP($C29,'[2]Breakdown non-EU havens'!$K$4:$M$31,2,0)/E106</f>
        <v>9134.433962264151</v>
      </c>
      <c r="O29" s="308">
        <f t="shared" si="2"/>
        <v>18596.440757446668</v>
      </c>
      <c r="P29" s="308">
        <f t="shared" si="6"/>
        <v>7347.8773584905666</v>
      </c>
      <c r="Q29" s="281">
        <f>VLOOKUP($C29,'[2]Breakdown EU havens'!$J$4:$P$31,Q$2,0)/E106</f>
        <v>4911.5566037735853</v>
      </c>
      <c r="R29" s="281">
        <f>VLOOKUP($C29,'[2]Breakdown EU havens'!$J$4:$P$31,R$2,0)/E106</f>
        <v>141.50943396226415</v>
      </c>
      <c r="S29" s="281">
        <f>VLOOKUP($C29,'[2]Breakdown EU havens'!$J$4:$P$31,S$2,0)/E106</f>
        <v>-942.21698113207549</v>
      </c>
      <c r="T29" s="281">
        <f>VLOOKUP($C29,'[2]Breakdown EU havens'!$J$4:$P$31,T$2,0)/E106</f>
        <v>0</v>
      </c>
      <c r="U29" s="281">
        <f>VLOOKUP($C29,'[2]Breakdown EU havens'!$J$4:$P$31,U$2,0)/E106</f>
        <v>247.64150943396228</v>
      </c>
      <c r="V29" s="281">
        <f>VLOOKUP($C29,'[2]Breakdown EU havens'!$J$4:$P$31,V$2,0)/E106</f>
        <v>2989.3867924528304</v>
      </c>
      <c r="W29" s="308">
        <f t="shared" si="7"/>
        <v>11248.563398956099</v>
      </c>
      <c r="X29" s="290">
        <f>IFERROR(IFERROR(VLOOKUP(C29,'[2]Swiss pivot'!$E$3:$H$54,3,0),VLOOKUP($C29,'[2]Breakdown non-EU havens'!$F$4:$H$31,3,0)/$E$106),AK29*'[2]Non-EU tax havens'!$I$8)</f>
        <v>2839.3652857485513</v>
      </c>
      <c r="Y29" s="289">
        <f>VLOOKUP($C29,'[2]Breakdown non-EU havens'!$F$4:$H$31,2,0)/E106</f>
        <v>8409.1981132075471</v>
      </c>
      <c r="Z29" s="266"/>
      <c r="AA29" s="49">
        <f>+'[2]CDIS Table-4'!O26</f>
        <v>0.11891862183622122</v>
      </c>
      <c r="AB29" s="52"/>
      <c r="AC29" s="52">
        <f t="shared" si="8"/>
        <v>0</v>
      </c>
      <c r="AD29" s="52">
        <f t="shared" si="9"/>
        <v>0</v>
      </c>
      <c r="AE29" s="52">
        <f t="shared" si="10"/>
        <v>0</v>
      </c>
      <c r="AF29" s="52"/>
      <c r="AG29" s="49">
        <f t="shared" si="18"/>
        <v>0.11891862183622122</v>
      </c>
      <c r="AH29" s="52"/>
      <c r="AI29" s="52">
        <f t="shared" si="11"/>
        <v>0</v>
      </c>
      <c r="AJ29" s="52"/>
      <c r="AK29" s="52">
        <f t="shared" si="12"/>
        <v>0</v>
      </c>
      <c r="AL29" s="52"/>
      <c r="AM29" s="49">
        <f>+'[2]CDIS Table-4'!U26</f>
        <v>0</v>
      </c>
      <c r="AN29" s="52"/>
      <c r="AO29" s="52">
        <f t="shared" si="13"/>
        <v>0</v>
      </c>
      <c r="AP29" s="52">
        <f t="shared" si="14"/>
        <v>0</v>
      </c>
      <c r="AQ29" s="52">
        <f t="shared" si="15"/>
        <v>0</v>
      </c>
      <c r="AR29" s="52"/>
      <c r="AS29" s="52">
        <f t="shared" si="16"/>
        <v>0</v>
      </c>
      <c r="AT29" s="52"/>
      <c r="AU29" s="52">
        <f t="shared" si="19"/>
        <v>0</v>
      </c>
    </row>
    <row r="30" spans="1:47" x14ac:dyDescent="0.35">
      <c r="C30" s="297" t="s">
        <v>53</v>
      </c>
      <c r="D30" s="308">
        <f t="shared" si="0"/>
        <v>2951.0197835494641</v>
      </c>
      <c r="E30" s="308">
        <f t="shared" si="4"/>
        <v>1991.7452830188679</v>
      </c>
      <c r="F30" s="281">
        <f>HLOOKUP($C30,'[2]Interest shifted to EU'!$L$2:$AT$8,F$2,0)/E106</f>
        <v>88.915094339622655</v>
      </c>
      <c r="G30" s="281">
        <f>HLOOKUP($C30,'[2]Interest shifted to EU'!$L$2:$AT$8,G$2,0)/E106</f>
        <v>0</v>
      </c>
      <c r="H30" s="281">
        <f>HLOOKUP($C30,'[2]Interest shifted to EU'!$L$2:$AT$8,H$2,0)/E106</f>
        <v>48.349056603773583</v>
      </c>
      <c r="I30" s="281">
        <f>HLOOKUP($C30,'[2]Interest shifted to EU'!$L$2:$AT$8,I$2,0)/E106</f>
        <v>195.16509433962264</v>
      </c>
      <c r="J30" s="281">
        <f>HLOOKUP($C30,'[2]Interest shifted to EU'!$L$2:$AT$8,J$2,0)/E106</f>
        <v>89.740566037735846</v>
      </c>
      <c r="K30" s="281">
        <f>HLOOKUP($C30,'[2]Interest shifted to EU'!$L$2:$AT$8,K$2,0)/E106</f>
        <v>1569.5754716981132</v>
      </c>
      <c r="L30" s="308">
        <f t="shared" si="5"/>
        <v>959.27450053059624</v>
      </c>
      <c r="M30" s="290">
        <f>AC30*'[2]Non-EU tax havens'!$K$8</f>
        <v>136.6606656679233</v>
      </c>
      <c r="N30" s="295">
        <f>AC30*'[2]Non-EU tax havens'!$K$13</f>
        <v>822.61383486267289</v>
      </c>
      <c r="O30" s="308">
        <f t="shared" si="2"/>
        <v>15518.666100852543</v>
      </c>
      <c r="P30" s="308">
        <f t="shared" si="6"/>
        <v>2909.1981132075471</v>
      </c>
      <c r="Q30" s="281">
        <f>HLOOKUP($C30,'[2]Non EU income shifted to EU'!$B$2:$AI$9,Q$2+1,0)/E106</f>
        <v>472.75943396226415</v>
      </c>
      <c r="R30" s="281">
        <f>HLOOKUP($C30,'[2]Non EU income shifted to EU'!$B$2:$AI$9,R$2+1,0)/E106</f>
        <v>0</v>
      </c>
      <c r="S30" s="281">
        <f>HLOOKUP($C30,'[2]Non EU income shifted to EU'!$B$2:$AI$9,S$2+1,0)/E106</f>
        <v>611.79245283018861</v>
      </c>
      <c r="T30" s="281">
        <f>HLOOKUP($C30,'[2]Non EU income shifted to EU'!$B$2:$AI$9,T$2+1,0)/E106</f>
        <v>152.12264150943398</v>
      </c>
      <c r="U30" s="281">
        <f>HLOOKUP($C30,'[2]Non EU income shifted to EU'!$B$2:$AI$9,U$2+1,0)/E106</f>
        <v>0.35377358490566035</v>
      </c>
      <c r="V30" s="281">
        <f>HLOOKUP($C30,'[2]Non EU income shifted to EU'!$B$2:$AI$9,V$2+1,0)/E106</f>
        <v>1672.1698113207547</v>
      </c>
      <c r="W30" s="308">
        <f t="shared" si="7"/>
        <v>12609.467987644995</v>
      </c>
      <c r="X30" s="290">
        <f>IFERROR(IFERROR(VLOOKUP(C30,'[2]Swiss pivot'!$E$3:$H$54,3,0),VLOOKUP($C30,'[2]Breakdown non-EU havens'!$F$4:$H$31,3,0)/$E$106),AK30*'[2]Non-EU tax havens'!$I$8)</f>
        <v>787.98778352796205</v>
      </c>
      <c r="Y30" s="289">
        <f>AE30*'[2]Non-EU tax havens'!$I$13</f>
        <v>11821.480204117033</v>
      </c>
      <c r="Z30" s="266"/>
      <c r="AA30" s="49">
        <f>+'[2]CDIS Table-4'!O27</f>
        <v>1.3983804982289147E-2</v>
      </c>
      <c r="AB30" s="52">
        <f>+AA30</f>
        <v>1.3983804982289147E-2</v>
      </c>
      <c r="AC30" s="52">
        <f t="shared" si="8"/>
        <v>2.7843336797180904E-2</v>
      </c>
      <c r="AD30" s="52">
        <f t="shared" si="9"/>
        <v>1.3983804982289147E-2</v>
      </c>
      <c r="AE30" s="52">
        <f t="shared" si="10"/>
        <v>3.5361004831806528E-2</v>
      </c>
      <c r="AF30" s="52"/>
      <c r="AG30" s="49">
        <f t="shared" si="18"/>
        <v>1.3983804982289147E-2</v>
      </c>
      <c r="AH30" s="52">
        <f>+AG30</f>
        <v>1.3983804982289147E-2</v>
      </c>
      <c r="AI30" s="52">
        <f t="shared" si="11"/>
        <v>2.7843336797180904E-2</v>
      </c>
      <c r="AJ30" s="52"/>
      <c r="AK30" s="52">
        <f t="shared" si="12"/>
        <v>0</v>
      </c>
      <c r="AL30" s="52"/>
      <c r="AM30" s="49">
        <f>+'[2]CDIS Table-4'!U27</f>
        <v>0</v>
      </c>
      <c r="AN30" s="52">
        <f>+AM30</f>
        <v>0</v>
      </c>
      <c r="AO30" s="52">
        <f t="shared" si="13"/>
        <v>0</v>
      </c>
      <c r="AP30" s="52">
        <f t="shared" si="14"/>
        <v>0</v>
      </c>
      <c r="AQ30" s="52">
        <f t="shared" si="15"/>
        <v>0</v>
      </c>
      <c r="AR30" s="52"/>
      <c r="AS30" s="52">
        <f t="shared" si="16"/>
        <v>0</v>
      </c>
      <c r="AT30" s="52"/>
      <c r="AU30" s="52">
        <f t="shared" si="19"/>
        <v>0</v>
      </c>
    </row>
    <row r="31" spans="1:47" x14ac:dyDescent="0.35">
      <c r="C31" s="297" t="s">
        <v>54</v>
      </c>
      <c r="D31" s="308">
        <f t="shared" si="0"/>
        <v>17919.221698113208</v>
      </c>
      <c r="E31" s="308">
        <f t="shared" si="4"/>
        <v>5360.2594339622638</v>
      </c>
      <c r="F31" s="281">
        <f>VLOOKUP($C31,'[2]Breakdown EU havens'!$S$4:$Y$31,F$2,0)/E106</f>
        <v>304.48113207547169</v>
      </c>
      <c r="G31" s="281">
        <f>VLOOKUP($C31,'[2]Breakdown EU havens'!$S$4:$Y$31,G$2,0)/E106</f>
        <v>0.70754716981132071</v>
      </c>
      <c r="H31" s="281">
        <f>VLOOKUP($C31,'[2]Breakdown EU havens'!$S$4:$Y$31,H$2,0)/E106</f>
        <v>4419.8113207547167</v>
      </c>
      <c r="I31" s="281">
        <f>VLOOKUP($C31,'[2]Breakdown EU havens'!$S$4:$Y$31,I$2,0)/E106</f>
        <v>632.66509433962267</v>
      </c>
      <c r="J31" s="281">
        <f>VLOOKUP($C31,'[2]Breakdown EU havens'!$S$4:$Y$31,J$2,0)/E106</f>
        <v>2.5943396226415096</v>
      </c>
      <c r="K31" s="281">
        <f>VLOOKUP($C31,'[2]Breakdown EU havens'!$S$4:$Y$31,K$2,0)/E106</f>
        <v>0</v>
      </c>
      <c r="L31" s="308">
        <f t="shared" si="5"/>
        <v>12558.962264150945</v>
      </c>
      <c r="M31" s="290">
        <f>VLOOKUP($C31,'[2]Breakdown non-EU havens'!$K$4:$M$31,3,0)/E106</f>
        <v>2198.1132075471701</v>
      </c>
      <c r="N31" s="295">
        <f>VLOOKUP($C31,'[2]Breakdown non-EU havens'!$K$4:$M$31,2,0)/E106</f>
        <v>10360.849056603774</v>
      </c>
      <c r="O31" s="308">
        <f t="shared" si="2"/>
        <v>53842.641632815561</v>
      </c>
      <c r="P31" s="308">
        <f t="shared" si="6"/>
        <v>18814.976415094341</v>
      </c>
      <c r="Q31" s="281">
        <f>VLOOKUP($C31,'[2]Breakdown EU havens'!$J$4:$P$31,Q$2,0)/E106</f>
        <v>9409.1981132075471</v>
      </c>
      <c r="R31" s="281">
        <f>VLOOKUP($C31,'[2]Breakdown EU havens'!$J$4:$P$31,R$2,0)/E106</f>
        <v>45.990566037735853</v>
      </c>
      <c r="S31" s="281">
        <f>VLOOKUP($C31,'[2]Breakdown EU havens'!$J$4:$P$31,S$2,0)/E106</f>
        <v>6228.7735849056608</v>
      </c>
      <c r="T31" s="281">
        <f>VLOOKUP($C31,'[2]Breakdown EU havens'!$J$4:$P$31,T$2,0)/E106</f>
        <v>2784.316037735849</v>
      </c>
      <c r="U31" s="281">
        <f>VLOOKUP($C31,'[2]Breakdown EU havens'!$J$4:$P$31,U$2,0)/E106</f>
        <v>346.69811320754718</v>
      </c>
      <c r="V31" s="281">
        <f>VLOOKUP($C31,'[2]Breakdown EU havens'!$J$4:$P$31,V$2,0)/E106</f>
        <v>0</v>
      </c>
      <c r="W31" s="308">
        <f t="shared" si="7"/>
        <v>35027.665217721216</v>
      </c>
      <c r="X31" s="290">
        <f>IFERROR(IFERROR(VLOOKUP(C31,'[2]Swiss pivot'!$E$3:$H$54,3,0),VLOOKUP($C31,'[2]Breakdown non-EU havens'!$F$4:$H$31,3,0)/$E$106),AK31*'[2]Non-EU tax havens'!$I$8)</f>
        <v>2375.7784252683828</v>
      </c>
      <c r="Y31" s="289">
        <f>VLOOKUP($C31,'[2]Breakdown non-EU havens'!$F$4:$H$31,2,0)/E106</f>
        <v>32651.886792452831</v>
      </c>
      <c r="Z31" s="266"/>
      <c r="AA31" s="49">
        <f>+'[2]CDIS Table-4'!O28</f>
        <v>0.13981874897109201</v>
      </c>
      <c r="AB31" s="52"/>
      <c r="AC31" s="52"/>
      <c r="AD31" s="52"/>
      <c r="AE31" s="52"/>
      <c r="AF31" s="52"/>
      <c r="AG31" s="49">
        <f t="shared" si="18"/>
        <v>0.13981874897109201</v>
      </c>
      <c r="AH31" s="52"/>
      <c r="AI31" s="52"/>
      <c r="AJ31" s="52"/>
      <c r="AK31" s="52">
        <f t="shared" si="12"/>
        <v>0</v>
      </c>
      <c r="AL31" s="52"/>
      <c r="AM31" s="49">
        <f>+'[2]CDIS Table-4'!U28</f>
        <v>0</v>
      </c>
      <c r="AN31" s="52"/>
      <c r="AO31" s="52"/>
      <c r="AP31" s="52"/>
      <c r="AQ31" s="52"/>
      <c r="AR31" s="52"/>
      <c r="AS31" s="52">
        <f t="shared" si="16"/>
        <v>0</v>
      </c>
      <c r="AT31" s="52"/>
      <c r="AU31" s="52">
        <f t="shared" si="19"/>
        <v>0</v>
      </c>
    </row>
    <row r="32" spans="1:47" x14ac:dyDescent="0.35">
      <c r="C32" s="297" t="s">
        <v>55</v>
      </c>
      <c r="D32" s="308">
        <f t="shared" si="0"/>
        <v>204.12001915211184</v>
      </c>
      <c r="E32" s="308">
        <f t="shared" si="4"/>
        <v>58.490566037735853</v>
      </c>
      <c r="F32" s="281">
        <f>HLOOKUP($C32,'[2]Interest shifted to EU'!$L$2:$AT$8,F$2,0)/E106</f>
        <v>22.169811320754718</v>
      </c>
      <c r="G32" s="281">
        <f>HLOOKUP($C32,'[2]Interest shifted to EU'!$L$2:$AT$8,G$2,0)/E106</f>
        <v>0</v>
      </c>
      <c r="H32" s="281">
        <f>HLOOKUP($C32,'[2]Interest shifted to EU'!$L$2:$AT$8,H$2,0)/E106</f>
        <v>0</v>
      </c>
      <c r="I32" s="281">
        <f>HLOOKUP($C32,'[2]Interest shifted to EU'!$L$2:$AT$8,I$2,0)/E106</f>
        <v>0</v>
      </c>
      <c r="J32" s="281">
        <f>HLOOKUP($C32,'[2]Interest shifted to EU'!$L$2:$AT$8,J$2,0)/E106</f>
        <v>4.4811320754716979</v>
      </c>
      <c r="K32" s="281">
        <f>HLOOKUP($C32,'[2]Interest shifted to EU'!$L$2:$AT$8,K$2,0)/E106</f>
        <v>31.839622641509436</v>
      </c>
      <c r="L32" s="308">
        <f t="shared" si="5"/>
        <v>145.62945311437599</v>
      </c>
      <c r="M32" s="290">
        <f>AC32*'[2]Non-EU tax havens'!$K$8</f>
        <v>20.746739324831534</v>
      </c>
      <c r="N32" s="295">
        <f>AC32*'[2]Non-EU tax havens'!$K$13</f>
        <v>124.88271378954445</v>
      </c>
      <c r="O32" s="308">
        <f t="shared" si="2"/>
        <v>2585.6751915831037</v>
      </c>
      <c r="P32" s="308">
        <f t="shared" si="6"/>
        <v>635.02358490566041</v>
      </c>
      <c r="Q32" s="281">
        <f>HLOOKUP($C32,'[2]Non EU income shifted to EU'!$B$2:$AI$9,Q$2+1,0)/E106</f>
        <v>101.41509433962264</v>
      </c>
      <c r="R32" s="281">
        <f>HLOOKUP($C32,'[2]Non EU income shifted to EU'!$B$2:$AI$9,R$2+1,0)/E106</f>
        <v>0</v>
      </c>
      <c r="S32" s="281">
        <f>HLOOKUP($C32,'[2]Non EU income shifted to EU'!$B$2:$AI$9,S$2+1,0)/E106</f>
        <v>159.19811320754718</v>
      </c>
      <c r="T32" s="281">
        <f>HLOOKUP($C32,'[2]Non EU income shifted to EU'!$B$2:$AI$9,T$2+1,0)/E106</f>
        <v>122.64150943396227</v>
      </c>
      <c r="U32" s="281">
        <f>HLOOKUP($C32,'[2]Non EU income shifted to EU'!$B$2:$AI$9,U$2+1,0)/E106</f>
        <v>1.4150943396226414</v>
      </c>
      <c r="V32" s="281">
        <f>HLOOKUP($C32,'[2]Non EU income shifted to EU'!$B$2:$AI$9,V$2+1,0)/E106</f>
        <v>250.35377358490567</v>
      </c>
      <c r="W32" s="308">
        <f t="shared" si="7"/>
        <v>1950.6516066774434</v>
      </c>
      <c r="X32" s="290">
        <f>IFERROR(IFERROR(VLOOKUP(C32,'[2]Swiss pivot'!$E$3:$H$54,3,0),VLOOKUP($C32,'[2]Breakdown non-EU havens'!$F$4:$H$31,3,0)/$E$106),AE32*'[2]Non-EU tax havens'!$I$8)</f>
        <v>156.00815876367685</v>
      </c>
      <c r="Y32" s="289">
        <f>AE32*'[2]Non-EU tax havens'!$I$13</f>
        <v>1794.6434479137665</v>
      </c>
      <c r="Z32" s="266"/>
      <c r="AA32" s="49">
        <f>+'[2]CDIS Table-4'!O29</f>
        <v>2.1229104608768879E-3</v>
      </c>
      <c r="AB32" s="52">
        <f>+AA32</f>
        <v>2.1229104608768879E-3</v>
      </c>
      <c r="AC32" s="52">
        <f t="shared" ref="AC32:AC63" si="20">+AB32/$AB$102</f>
        <v>4.2269547542544183E-3</v>
      </c>
      <c r="AD32" s="52">
        <f t="shared" ref="AD32:AD42" si="21">+AB32</f>
        <v>2.1229104608768879E-3</v>
      </c>
      <c r="AE32" s="52">
        <f t="shared" ref="AE32:AE63" si="22">+AD32/$AD$102</f>
        <v>5.3682275431927258E-3</v>
      </c>
      <c r="AF32" s="52"/>
      <c r="AG32" s="49">
        <f t="shared" si="18"/>
        <v>2.1229104608768879E-3</v>
      </c>
      <c r="AH32" s="52">
        <f>+AG32</f>
        <v>2.1229104608768879E-3</v>
      </c>
      <c r="AI32" s="52">
        <f t="shared" ref="AI32:AI63" si="23">+AH32/$AB$102</f>
        <v>4.2269547542544183E-3</v>
      </c>
      <c r="AJ32" s="52"/>
      <c r="AK32" s="52">
        <f t="shared" si="12"/>
        <v>0</v>
      </c>
      <c r="AL32" s="52"/>
      <c r="AM32" s="49">
        <f>+'[2]CDIS Table-4'!U29</f>
        <v>0</v>
      </c>
      <c r="AN32" s="52">
        <f>+AM32</f>
        <v>0</v>
      </c>
      <c r="AO32" s="52">
        <f t="shared" ref="AO32:AO63" si="24">+AN32/$AB$102</f>
        <v>0</v>
      </c>
      <c r="AP32" s="52">
        <f t="shared" ref="AP32:AP42" si="25">+AN32</f>
        <v>0</v>
      </c>
      <c r="AQ32" s="52">
        <f t="shared" ref="AQ32:AQ63" si="26">+AP32/$AD$102</f>
        <v>0</v>
      </c>
      <c r="AR32" s="52"/>
      <c r="AS32" s="52">
        <f t="shared" si="16"/>
        <v>0</v>
      </c>
      <c r="AT32" s="52"/>
      <c r="AU32" s="52">
        <f t="shared" si="19"/>
        <v>0</v>
      </c>
    </row>
    <row r="33" spans="1:47" x14ac:dyDescent="0.35">
      <c r="C33" s="297" t="s">
        <v>56</v>
      </c>
      <c r="D33" s="308">
        <f t="shared" si="0"/>
        <v>583.27829701498536</v>
      </c>
      <c r="E33" s="308">
        <f t="shared" si="4"/>
        <v>295.99056603773585</v>
      </c>
      <c r="F33" s="281">
        <f>HLOOKUP($C33,'[2]Interest shifted to EU'!$L$2:$AT$8,F$2,0)/E106</f>
        <v>30.54245283018868</v>
      </c>
      <c r="G33" s="281">
        <f>HLOOKUP($C33,'[2]Interest shifted to EU'!$L$2:$AT$8,G$2,0)/E106</f>
        <v>0</v>
      </c>
      <c r="H33" s="281">
        <f>HLOOKUP($C33,'[2]Interest shifted to EU'!$L$2:$AT$8,H$2,0)/E106</f>
        <v>0</v>
      </c>
      <c r="I33" s="281">
        <f>HLOOKUP($C33,'[2]Interest shifted to EU'!$L$2:$AT$8,I$2,0)/E106</f>
        <v>0</v>
      </c>
      <c r="J33" s="281">
        <f>HLOOKUP($C33,'[2]Interest shifted to EU'!$L$2:$AT$8,J$2,0)/E106</f>
        <v>63.561320754716981</v>
      </c>
      <c r="K33" s="281">
        <f>HLOOKUP($C33,'[2]Interest shifted to EU'!$L$2:$AT$8,K$2,0)/E106</f>
        <v>201.88679245283018</v>
      </c>
      <c r="L33" s="308">
        <f t="shared" si="5"/>
        <v>287.28773097724951</v>
      </c>
      <c r="M33" s="290">
        <f>AC33*'[2]Non-EU tax havens'!$K$8</f>
        <v>40.927735003757618</v>
      </c>
      <c r="N33" s="295">
        <f>AC33*'[2]Non-EU tax havens'!$K$13</f>
        <v>246.35999597349189</v>
      </c>
      <c r="O33" s="308">
        <f t="shared" si="2"/>
        <v>7205.7695400561661</v>
      </c>
      <c r="P33" s="308">
        <f t="shared" si="6"/>
        <v>3355.4245283018868</v>
      </c>
      <c r="Q33" s="281">
        <f>HLOOKUP($C33,'[2]Non EU income shifted to EU'!$B$2:$AI$9,Q$2+1,0)/E106</f>
        <v>352.59433962264154</v>
      </c>
      <c r="R33" s="281">
        <f>HLOOKUP($C33,'[2]Non EU income shifted to EU'!$B$2:$AI$9,R$2+1,0)/E106</f>
        <v>4.716981132075472</v>
      </c>
      <c r="S33" s="281">
        <f>HLOOKUP($C33,'[2]Non EU income shifted to EU'!$B$2:$AI$9,S$2+1,0)/E106</f>
        <v>1751.1792452830189</v>
      </c>
      <c r="T33" s="281">
        <f>HLOOKUP($C33,'[2]Non EU income shifted to EU'!$B$2:$AI$9,T$2+1,0)/E106</f>
        <v>291.27358490566041</v>
      </c>
      <c r="U33" s="281">
        <f>HLOOKUP($C33,'[2]Non EU income shifted to EU'!$B$2:$AI$9,U$2+1,0)/E106</f>
        <v>181.4858490566038</v>
      </c>
      <c r="V33" s="281">
        <f>HLOOKUP($C33,'[2]Non EU income shifted to EU'!$B$2:$AI$9,V$2+1,0)/E106</f>
        <v>774.17452830188677</v>
      </c>
      <c r="W33" s="308">
        <f t="shared" si="7"/>
        <v>3850.3450117542789</v>
      </c>
      <c r="X33" s="290">
        <f>IFERROR(IFERROR(VLOOKUP(C33,'[2]Swiss pivot'!$E$3:$H$54,3,0),VLOOKUP($C33,'[2]Breakdown non-EU havens'!$F$4:$H$31,3,0)/$E$106),AK33*'[2]Non-EU tax havens'!$I$8)</f>
        <v>309.99631828357855</v>
      </c>
      <c r="Y33" s="289">
        <f>AE33*'[2]Non-EU tax havens'!$I$13</f>
        <v>3540.3486934707003</v>
      </c>
      <c r="Z33" s="266"/>
      <c r="AA33" s="49">
        <f>+'[2]CDIS Table-4'!O30</f>
        <v>4.1879311933842762E-3</v>
      </c>
      <c r="AB33" s="52">
        <f>+AA33</f>
        <v>4.1879311933842762E-3</v>
      </c>
      <c r="AC33" s="52">
        <f t="shared" si="20"/>
        <v>8.338644514029098E-3</v>
      </c>
      <c r="AD33" s="52">
        <f t="shared" si="21"/>
        <v>4.1879311933842762E-3</v>
      </c>
      <c r="AE33" s="52">
        <f t="shared" si="22"/>
        <v>1.0590068679597137E-2</v>
      </c>
      <c r="AF33" s="52"/>
      <c r="AG33" s="49">
        <f t="shared" si="18"/>
        <v>4.1879311933842762E-3</v>
      </c>
      <c r="AH33" s="52">
        <f>+AG33</f>
        <v>4.1879311933842762E-3</v>
      </c>
      <c r="AI33" s="52">
        <f t="shared" si="23"/>
        <v>8.338644514029098E-3</v>
      </c>
      <c r="AJ33" s="52"/>
      <c r="AK33" s="52">
        <f t="shared" si="12"/>
        <v>0</v>
      </c>
      <c r="AL33" s="52"/>
      <c r="AM33" s="49">
        <f>+'[2]CDIS Table-4'!U30</f>
        <v>0</v>
      </c>
      <c r="AN33" s="52">
        <f>+AM33</f>
        <v>0</v>
      </c>
      <c r="AO33" s="52">
        <f t="shared" si="24"/>
        <v>0</v>
      </c>
      <c r="AP33" s="52">
        <f t="shared" si="25"/>
        <v>0</v>
      </c>
      <c r="AQ33" s="52">
        <f t="shared" si="26"/>
        <v>0</v>
      </c>
      <c r="AR33" s="52"/>
      <c r="AS33" s="52">
        <f t="shared" si="16"/>
        <v>0</v>
      </c>
      <c r="AT33" s="52"/>
      <c r="AU33" s="52">
        <f t="shared" si="19"/>
        <v>0</v>
      </c>
    </row>
    <row r="34" spans="1:47" x14ac:dyDescent="0.35">
      <c r="C34" s="297" t="s">
        <v>57</v>
      </c>
      <c r="D34" s="308">
        <f t="shared" si="0"/>
        <v>703.30188679245282</v>
      </c>
      <c r="E34" s="308">
        <f t="shared" si="4"/>
        <v>623.46698113207549</v>
      </c>
      <c r="F34" s="281">
        <f>VLOOKUP($C34,'[2]Breakdown EU havens'!$S$4:$Y$31,F$2,0)/E106</f>
        <v>100.35377358490565</v>
      </c>
      <c r="G34" s="281">
        <f>VLOOKUP($C34,'[2]Breakdown EU havens'!$S$4:$Y$31,G$2,0)/E106</f>
        <v>0</v>
      </c>
      <c r="H34" s="281">
        <f>VLOOKUP($C34,'[2]Breakdown EU havens'!$S$4:$Y$31,H$2,0)/E106</f>
        <v>35.023584905660378</v>
      </c>
      <c r="I34" s="281">
        <f>VLOOKUP($C34,'[2]Breakdown EU havens'!$S$4:$Y$31,I$2,0)/E106</f>
        <v>237.14622641509433</v>
      </c>
      <c r="J34" s="281">
        <f>VLOOKUP($C34,'[2]Breakdown EU havens'!$S$4:$Y$31,J$2,0)/E106</f>
        <v>0.94339622641509446</v>
      </c>
      <c r="K34" s="281">
        <f>VLOOKUP($C34,'[2]Breakdown EU havens'!$S$4:$Y$31,K$2,0)/E106</f>
        <v>250</v>
      </c>
      <c r="L34" s="308">
        <f t="shared" si="5"/>
        <v>79.834905660377359</v>
      </c>
      <c r="M34" s="290">
        <f>VLOOKUP($C34,'[2]Breakdown non-EU havens'!$K$4:$M$31,3,0)/E106</f>
        <v>66.627358490566039</v>
      </c>
      <c r="N34" s="295">
        <f>VLOOKUP($C34,'[2]Breakdown non-EU havens'!$K$4:$M$31,2,0)/E106</f>
        <v>13.207547169811322</v>
      </c>
      <c r="O34" s="308">
        <f t="shared" si="2"/>
        <v>4713.6700675120865</v>
      </c>
      <c r="P34" s="308">
        <f t="shared" si="6"/>
        <v>3959.9056603773588</v>
      </c>
      <c r="Q34" s="281">
        <f>VLOOKUP($C34,'[2]Breakdown EU havens'!$J$4:$P$31,Q$2,0)/E106</f>
        <v>411.55660377358492</v>
      </c>
      <c r="R34" s="281">
        <f>VLOOKUP($C34,'[2]Breakdown EU havens'!$J$4:$P$31,R$2,0)/E106</f>
        <v>8.2547169811320753</v>
      </c>
      <c r="S34" s="281">
        <f>VLOOKUP($C34,'[2]Breakdown EU havens'!$J$4:$P$31,S$2,0)/E106</f>
        <v>1417.4528301886792</v>
      </c>
      <c r="T34" s="281">
        <f>VLOOKUP($C34,'[2]Breakdown EU havens'!$J$4:$P$31,T$2,0)/E106</f>
        <v>643.86792452830196</v>
      </c>
      <c r="U34" s="281">
        <f>VLOOKUP($C34,'[2]Breakdown EU havens'!$J$4:$P$31,U$2,0)/E106</f>
        <v>165.68396226415095</v>
      </c>
      <c r="V34" s="281">
        <f>VLOOKUP($C34,'[2]Breakdown EU havens'!$J$4:$P$31,V$2,0)/E106</f>
        <v>1313.0896226415095</v>
      </c>
      <c r="W34" s="308">
        <f t="shared" si="7"/>
        <v>753.764407134728</v>
      </c>
      <c r="X34" s="290">
        <f>IFERROR(IFERROR(VLOOKUP(C34,'[2]Swiss pivot'!$E$3:$H$54,3,0),VLOOKUP($C34,'[2]Breakdown non-EU havens'!$F$4:$H$31,3,0)/$E$106),AK34*'[2]Non-EU tax havens'!$I$8)</f>
        <v>584.30685996491673</v>
      </c>
      <c r="Y34" s="289">
        <f>VLOOKUP($C34,'[2]Breakdown non-EU havens'!$F$4:$H$31,2,0)/E106</f>
        <v>169.45754716981131</v>
      </c>
      <c r="Z34" s="266"/>
      <c r="AA34" s="49">
        <f>+'[2]CDIS Table-4'!O31</f>
        <v>6.8099108675849793E-3</v>
      </c>
      <c r="AB34" s="52"/>
      <c r="AC34" s="52">
        <f t="shared" si="20"/>
        <v>0</v>
      </c>
      <c r="AD34" s="52">
        <f t="shared" si="21"/>
        <v>0</v>
      </c>
      <c r="AE34" s="52">
        <f t="shared" si="22"/>
        <v>0</v>
      </c>
      <c r="AF34" s="52"/>
      <c r="AG34" s="49">
        <f t="shared" si="18"/>
        <v>6.8099108675849793E-3</v>
      </c>
      <c r="AH34" s="52"/>
      <c r="AI34" s="52">
        <f t="shared" si="23"/>
        <v>0</v>
      </c>
      <c r="AJ34" s="52"/>
      <c r="AK34" s="52">
        <f t="shared" si="12"/>
        <v>0</v>
      </c>
      <c r="AL34" s="52"/>
      <c r="AM34" s="49">
        <f>+'[2]CDIS Table-4'!U31</f>
        <v>0</v>
      </c>
      <c r="AN34" s="52"/>
      <c r="AO34" s="52">
        <f t="shared" si="24"/>
        <v>0</v>
      </c>
      <c r="AP34" s="52">
        <f t="shared" si="25"/>
        <v>0</v>
      </c>
      <c r="AQ34" s="52">
        <f t="shared" si="26"/>
        <v>0</v>
      </c>
      <c r="AR34" s="52"/>
      <c r="AS34" s="52">
        <f t="shared" si="16"/>
        <v>0</v>
      </c>
      <c r="AT34" s="52"/>
      <c r="AU34" s="52">
        <f t="shared" si="19"/>
        <v>0</v>
      </c>
    </row>
    <row r="35" spans="1:47" x14ac:dyDescent="0.35">
      <c r="C35" s="297" t="s">
        <v>58</v>
      </c>
      <c r="D35" s="308">
        <f t="shared" si="0"/>
        <v>756.48584905660368</v>
      </c>
      <c r="E35" s="308">
        <f t="shared" si="4"/>
        <v>716.2735849056603</v>
      </c>
      <c r="F35" s="281">
        <f>VLOOKUP($C35,'[2]Breakdown EU havens'!$S$4:$Y$31,F$2,0)/E106</f>
        <v>34.669811320754718</v>
      </c>
      <c r="G35" s="281">
        <f>VLOOKUP($C35,'[2]Breakdown EU havens'!$S$4:$Y$31,G$2,0)/E106</f>
        <v>0</v>
      </c>
      <c r="H35" s="281">
        <f>VLOOKUP($C35,'[2]Breakdown EU havens'!$S$4:$Y$31,H$2,0)/E106</f>
        <v>58.962264150943398</v>
      </c>
      <c r="I35" s="281">
        <f>VLOOKUP($C35,'[2]Breakdown EU havens'!$S$4:$Y$31,I$2,0)/E106</f>
        <v>140.33018867924528</v>
      </c>
      <c r="J35" s="281">
        <f>VLOOKUP($C35,'[2]Breakdown EU havens'!$S$4:$Y$31,J$2,0)/E106</f>
        <v>0</v>
      </c>
      <c r="K35" s="281">
        <f>VLOOKUP($C35,'[2]Breakdown EU havens'!$S$4:$Y$31,K$2,0)/E106</f>
        <v>482.31132075471697</v>
      </c>
      <c r="L35" s="308">
        <f t="shared" si="5"/>
        <v>40.212264150943398</v>
      </c>
      <c r="M35" s="290">
        <f>VLOOKUP($C35,'[2]Breakdown non-EU havens'!$K$4:$M$31,3,0)/E106</f>
        <v>40.212264150943398</v>
      </c>
      <c r="N35" s="295">
        <f>VLOOKUP($C35,'[2]Breakdown non-EU havens'!$K$4:$M$31,2,0)/E106</f>
        <v>0</v>
      </c>
      <c r="O35" s="308">
        <f t="shared" si="2"/>
        <v>2662.3363003749919</v>
      </c>
      <c r="P35" s="308">
        <f t="shared" si="6"/>
        <v>2295.8726415094338</v>
      </c>
      <c r="Q35" s="281">
        <f>VLOOKUP($C35,'[2]Breakdown EU havens'!$J$4:$P$31,Q$2,0)/E106</f>
        <v>344.33962264150944</v>
      </c>
      <c r="R35" s="281">
        <f>VLOOKUP($C35,'[2]Breakdown EU havens'!$J$4:$P$31,R$2,0)/E106</f>
        <v>2.358490566037736</v>
      </c>
      <c r="S35" s="281">
        <f>VLOOKUP($C35,'[2]Breakdown EU havens'!$J$4:$P$31,S$2,0)/E106</f>
        <v>748.82075471698113</v>
      </c>
      <c r="T35" s="281">
        <f>VLOOKUP($C35,'[2]Breakdown EU havens'!$J$4:$P$31,T$2,0)/E106</f>
        <v>482.78301886792451</v>
      </c>
      <c r="U35" s="281">
        <f>VLOOKUP($C35,'[2]Breakdown EU havens'!$J$4:$P$31,U$2,0)/E106</f>
        <v>38.915094339622641</v>
      </c>
      <c r="V35" s="281">
        <f>VLOOKUP($C35,'[2]Breakdown EU havens'!$J$4:$P$31,V$2,0)/E106</f>
        <v>678.65566037735846</v>
      </c>
      <c r="W35" s="308">
        <f t="shared" si="7"/>
        <v>366.46365886555787</v>
      </c>
      <c r="X35" s="290">
        <f>IFERROR(IFERROR(VLOOKUP(C35,'[2]Swiss pivot'!$E$3:$H$54,3,0),VLOOKUP($C35,'[2]Breakdown non-EU havens'!$F$4:$H$31,3,0)/$E$106),AK35*'[2]Non-EU tax havens'!$I$8)</f>
        <v>259.1523381108409</v>
      </c>
      <c r="Y35" s="289">
        <f>VLOOKUP($C35,'[2]Breakdown non-EU havens'!$F$4:$H$31,2,0)/E106</f>
        <v>107.31132075471699</v>
      </c>
      <c r="Z35" s="266"/>
      <c r="AA35" s="49">
        <f>+'[2]CDIS Table-4'!O32</f>
        <v>4.6623666764422506E-3</v>
      </c>
      <c r="AB35" s="52"/>
      <c r="AC35" s="52">
        <f t="shared" si="20"/>
        <v>0</v>
      </c>
      <c r="AD35" s="52">
        <f t="shared" si="21"/>
        <v>0</v>
      </c>
      <c r="AE35" s="52">
        <f t="shared" si="22"/>
        <v>0</v>
      </c>
      <c r="AF35" s="52"/>
      <c r="AG35" s="49">
        <f t="shared" si="18"/>
        <v>4.6623666764422506E-3</v>
      </c>
      <c r="AH35" s="52"/>
      <c r="AI35" s="52">
        <f t="shared" si="23"/>
        <v>0</v>
      </c>
      <c r="AJ35" s="52"/>
      <c r="AK35" s="52">
        <f t="shared" si="12"/>
        <v>0</v>
      </c>
      <c r="AL35" s="52"/>
      <c r="AM35" s="49">
        <f>+'[2]CDIS Table-4'!U32</f>
        <v>0</v>
      </c>
      <c r="AN35" s="52"/>
      <c r="AO35" s="52">
        <f t="shared" si="24"/>
        <v>0</v>
      </c>
      <c r="AP35" s="52">
        <f t="shared" si="25"/>
        <v>0</v>
      </c>
      <c r="AQ35" s="52">
        <f t="shared" si="26"/>
        <v>0</v>
      </c>
      <c r="AR35" s="52"/>
      <c r="AS35" s="52">
        <f t="shared" si="16"/>
        <v>0</v>
      </c>
      <c r="AT35" s="52"/>
      <c r="AU35" s="52">
        <f t="shared" si="19"/>
        <v>0</v>
      </c>
    </row>
    <row r="36" spans="1:47" x14ac:dyDescent="0.35">
      <c r="C36" s="297" t="s">
        <v>293</v>
      </c>
      <c r="D36" s="308">
        <f t="shared" si="0"/>
        <v>162.85377358490567</v>
      </c>
      <c r="E36" s="308">
        <f t="shared" si="4"/>
        <v>141.03773584905662</v>
      </c>
      <c r="F36" s="281">
        <f>VLOOKUP($C36,'[2]Breakdown EU havens'!$S$4:$Y$31,F$2,0)/E106</f>
        <v>20.165094339622645</v>
      </c>
      <c r="G36" s="281">
        <f>VLOOKUP($C36,'[2]Breakdown EU havens'!$S$4:$Y$31,G$2,0)/E106</f>
        <v>0</v>
      </c>
      <c r="H36" s="281">
        <f>VLOOKUP($C36,'[2]Breakdown EU havens'!$S$4:$Y$31,H$2,0)/E106</f>
        <v>25.943396226415096</v>
      </c>
      <c r="I36" s="281">
        <f>VLOOKUP($C36,'[2]Breakdown EU havens'!$S$4:$Y$31,I$2,0)/E106</f>
        <v>61.910377358490571</v>
      </c>
      <c r="J36" s="281">
        <f>VLOOKUP($C36,'[2]Breakdown EU havens'!$S$4:$Y$31,J$2,0)/E106</f>
        <v>0</v>
      </c>
      <c r="K36" s="281">
        <f>VLOOKUP($C36,'[2]Breakdown EU havens'!$S$4:$Y$31,K$2,0)/E106</f>
        <v>33.018867924528301</v>
      </c>
      <c r="L36" s="308">
        <f t="shared" si="5"/>
        <v>21.816037735849058</v>
      </c>
      <c r="M36" s="290">
        <f>VLOOKUP($C36,'[2]Breakdown non-EU havens'!$K$4:$M$31,3,0)/E106</f>
        <v>18.514150943396228</v>
      </c>
      <c r="N36" s="295">
        <f>VLOOKUP($C36,'[2]Breakdown non-EU havens'!$K$4:$M$31,2,0)/E106</f>
        <v>3.3018867924528301</v>
      </c>
      <c r="O36" s="308">
        <f t="shared" si="2"/>
        <v>883.01886792452831</v>
      </c>
      <c r="P36" s="308">
        <f t="shared" si="6"/>
        <v>766.15566037735846</v>
      </c>
      <c r="Q36" s="281">
        <f>VLOOKUP($C36,'[2]Breakdown EU havens'!$J$4:$P$31,Q$2,0)/E106</f>
        <v>239.38679245283021</v>
      </c>
      <c r="R36" s="281">
        <f>VLOOKUP($C36,'[2]Breakdown EU havens'!$J$4:$P$31,R$2,0)/E106</f>
        <v>4.716981132075472</v>
      </c>
      <c r="S36" s="281">
        <f>VLOOKUP($C36,'[2]Breakdown EU havens'!$J$4:$P$31,S$2,0)/E106</f>
        <v>117.9245283018868</v>
      </c>
      <c r="T36" s="281">
        <f>VLOOKUP($C36,'[2]Breakdown EU havens'!$J$4:$P$31,T$2,0)/E106</f>
        <v>205.18867924528303</v>
      </c>
      <c r="U36" s="281">
        <f>VLOOKUP($C36,'[2]Breakdown EU havens'!$J$4:$P$31,U$2,0)/E106</f>
        <v>11.674528301886793</v>
      </c>
      <c r="V36" s="281">
        <f>VLOOKUP($C36,'[2]Breakdown EU havens'!$J$4:$P$31,V$2,0)/E106</f>
        <v>187.26415094339623</v>
      </c>
      <c r="W36" s="308">
        <f t="shared" si="7"/>
        <v>116.86320754716982</v>
      </c>
      <c r="X36" s="290">
        <f>IFERROR(IFERROR(VLOOKUP(C36,'[2]Swiss pivot'!$E$3:$H$54,3,0),VLOOKUP($C36,'[2]Breakdown non-EU havens'!$F$4:$H$31,3,0)/$E$106),AK36*'[2]Non-EU tax havens'!$I$8)</f>
        <v>85.84905660377359</v>
      </c>
      <c r="Y36" s="289">
        <f>VLOOKUP($C36,'[2]Breakdown non-EU havens'!$F$4:$H$31,2,0)/E106</f>
        <v>31.014150943396228</v>
      </c>
      <c r="Z36" s="266"/>
      <c r="AA36" s="49">
        <f>+'[2]CDIS Table-4'!O33</f>
        <v>1.6779028100662903E-3</v>
      </c>
      <c r="AB36" s="52"/>
      <c r="AC36" s="52">
        <f t="shared" si="20"/>
        <v>0</v>
      </c>
      <c r="AD36" s="52">
        <f t="shared" si="21"/>
        <v>0</v>
      </c>
      <c r="AE36" s="52">
        <f t="shared" si="22"/>
        <v>0</v>
      </c>
      <c r="AF36" s="52"/>
      <c r="AG36" s="49">
        <f t="shared" si="18"/>
        <v>1.6779028100662903E-3</v>
      </c>
      <c r="AH36" s="52"/>
      <c r="AI36" s="52">
        <f t="shared" si="23"/>
        <v>0</v>
      </c>
      <c r="AJ36" s="52"/>
      <c r="AK36" s="52">
        <f t="shared" si="12"/>
        <v>0</v>
      </c>
      <c r="AL36" s="52"/>
      <c r="AM36" s="49">
        <f>+'[2]CDIS Table-4'!U33</f>
        <v>0</v>
      </c>
      <c r="AN36" s="52"/>
      <c r="AO36" s="52">
        <f t="shared" si="24"/>
        <v>0</v>
      </c>
      <c r="AP36" s="52">
        <f t="shared" si="25"/>
        <v>0</v>
      </c>
      <c r="AQ36" s="52">
        <f t="shared" si="26"/>
        <v>0</v>
      </c>
      <c r="AR36" s="52"/>
      <c r="AS36" s="52">
        <f t="shared" si="16"/>
        <v>0</v>
      </c>
      <c r="AT36" s="52"/>
      <c r="AU36" s="52">
        <f t="shared" si="19"/>
        <v>0</v>
      </c>
    </row>
    <row r="37" spans="1:47" x14ac:dyDescent="0.35">
      <c r="C37" s="297" t="s">
        <v>60</v>
      </c>
      <c r="D37" s="308">
        <f t="shared" si="0"/>
        <v>36.084905660377359</v>
      </c>
      <c r="E37" s="308">
        <f t="shared" si="4"/>
        <v>29.834905660377359</v>
      </c>
      <c r="F37" s="281">
        <f>VLOOKUP($C37,'[2]Breakdown EU havens'!$S$4:$Y$31,F$2,0)/E106</f>
        <v>5.3066037735849054</v>
      </c>
      <c r="G37" s="281">
        <f>VLOOKUP($C37,'[2]Breakdown EU havens'!$S$4:$Y$31,G$2,0)/E106</f>
        <v>0</v>
      </c>
      <c r="H37" s="281">
        <f>VLOOKUP($C37,'[2]Breakdown EU havens'!$S$4:$Y$31,H$2,0)/E106</f>
        <v>0.23584905660377362</v>
      </c>
      <c r="I37" s="281">
        <f>VLOOKUP($C37,'[2]Breakdown EU havens'!$S$4:$Y$31,I$2,0)/E106</f>
        <v>20.754716981132077</v>
      </c>
      <c r="J37" s="281">
        <f>VLOOKUP($C37,'[2]Breakdown EU havens'!$S$4:$Y$31,J$2,0)/E106</f>
        <v>0</v>
      </c>
      <c r="K37" s="281">
        <f>VLOOKUP($C37,'[2]Breakdown EU havens'!$S$4:$Y$31,K$2,0)/E106</f>
        <v>3.5377358490566038</v>
      </c>
      <c r="L37" s="308">
        <f t="shared" si="5"/>
        <v>6.2500000000000009</v>
      </c>
      <c r="M37" s="290">
        <f>VLOOKUP($C37,'[2]Breakdown non-EU havens'!$K$4:$M$31,3,0)/E106</f>
        <v>3.7735849056603779</v>
      </c>
      <c r="N37" s="295">
        <f>VLOOKUP($C37,'[2]Breakdown non-EU havens'!$K$4:$M$31,2,0)/E106</f>
        <v>2.476415094339623</v>
      </c>
      <c r="O37" s="308">
        <f t="shared" si="2"/>
        <v>408.40734759175075</v>
      </c>
      <c r="P37" s="308">
        <f t="shared" si="6"/>
        <v>314.50471698113211</v>
      </c>
      <c r="Q37" s="281">
        <f>VLOOKUP($C37,'[2]Breakdown EU havens'!$J$4:$P$31,Q$2,0)/E106</f>
        <v>61.320754716981135</v>
      </c>
      <c r="R37" s="281">
        <f>VLOOKUP($C37,'[2]Breakdown EU havens'!$J$4:$P$31,R$2,0)/E106</f>
        <v>4.716981132075472</v>
      </c>
      <c r="S37" s="281">
        <f>VLOOKUP($C37,'[2]Breakdown EU havens'!$J$4:$P$31,S$2,0)/E106</f>
        <v>109.66981132075472</v>
      </c>
      <c r="T37" s="281">
        <f>VLOOKUP($C37,'[2]Breakdown EU havens'!$J$4:$P$31,T$2,0)/E106</f>
        <v>37.735849056603776</v>
      </c>
      <c r="U37" s="281">
        <f>VLOOKUP($C36,'[2]Breakdown EU havens'!$J$4:$P$31,U$2,0)/E106</f>
        <v>11.674528301886793</v>
      </c>
      <c r="V37" s="281">
        <f>VLOOKUP($C37,'[2]Breakdown EU havens'!$J$4:$P$31,V$2,0)/E106</f>
        <v>89.386792452830193</v>
      </c>
      <c r="W37" s="308">
        <f t="shared" si="7"/>
        <v>93.902630610618615</v>
      </c>
      <c r="X37" s="290">
        <f>IFERROR(IFERROR(VLOOKUP(C37,'[2]Swiss pivot'!$E$3:$H$54,3,0),VLOOKUP($C37,'[2]Breakdown non-EU havens'!$F$4:$H$31,3,0)/$E$106),AK37*'[2]Non-EU tax havens'!$I$8)</f>
        <v>57.935649478543134</v>
      </c>
      <c r="Y37" s="289">
        <f>VLOOKUP($C37,'[2]Breakdown non-EU havens'!$F$4:$H$31,2,0)/E106</f>
        <v>35.966981132075475</v>
      </c>
      <c r="Z37" s="266"/>
      <c r="AA37" s="49">
        <f>+'[2]CDIS Table-4'!O34</f>
        <v>4.7078495384529563E-4</v>
      </c>
      <c r="AB37" s="52"/>
      <c r="AC37" s="52">
        <f t="shared" si="20"/>
        <v>0</v>
      </c>
      <c r="AD37" s="52">
        <f t="shared" si="21"/>
        <v>0</v>
      </c>
      <c r="AE37" s="52">
        <f t="shared" si="22"/>
        <v>0</v>
      </c>
      <c r="AF37" s="52"/>
      <c r="AG37" s="49">
        <f t="shared" si="18"/>
        <v>4.7078495384529563E-4</v>
      </c>
      <c r="AH37" s="52"/>
      <c r="AI37" s="52">
        <f t="shared" si="23"/>
        <v>0</v>
      </c>
      <c r="AJ37" s="52"/>
      <c r="AK37" s="52">
        <f t="shared" si="12"/>
        <v>0</v>
      </c>
      <c r="AL37" s="52"/>
      <c r="AM37" s="49">
        <f>+'[2]CDIS Table-4'!U34</f>
        <v>0</v>
      </c>
      <c r="AN37" s="52"/>
      <c r="AO37" s="52">
        <f t="shared" si="24"/>
        <v>0</v>
      </c>
      <c r="AP37" s="52">
        <f t="shared" si="25"/>
        <v>0</v>
      </c>
      <c r="AQ37" s="52">
        <f t="shared" si="26"/>
        <v>0</v>
      </c>
      <c r="AR37" s="52"/>
      <c r="AS37" s="52">
        <f t="shared" si="16"/>
        <v>0</v>
      </c>
      <c r="AT37" s="52"/>
      <c r="AU37" s="52">
        <f t="shared" si="19"/>
        <v>0</v>
      </c>
    </row>
    <row r="38" spans="1:47" x14ac:dyDescent="0.35">
      <c r="C38" s="297" t="s">
        <v>61</v>
      </c>
      <c r="D38" s="308">
        <f t="shared" si="0"/>
        <v>4449.4103773584911</v>
      </c>
      <c r="E38" s="308">
        <f t="shared" si="4"/>
        <v>4046.1084905660382</v>
      </c>
      <c r="F38" s="281">
        <f>VLOOKUP($C38,'[2]Breakdown EU havens'!$S$4:$Y$31,F$2,0)/E106</f>
        <v>268.8679245283019</v>
      </c>
      <c r="G38" s="281">
        <f>VLOOKUP($C38,'[2]Breakdown EU havens'!$S$4:$Y$31,G$2,0)/E106</f>
        <v>4.2452830188679247</v>
      </c>
      <c r="H38" s="281">
        <f>VLOOKUP($C38,'[2]Breakdown EU havens'!$S$4:$Y$31,H$2,0)/E106</f>
        <v>419.81132075471697</v>
      </c>
      <c r="I38" s="281">
        <f>VLOOKUP($C38,'[2]Breakdown EU havens'!$S$4:$Y$31,I$2,0)/E106</f>
        <v>796.2264150943397</v>
      </c>
      <c r="J38" s="281">
        <f>VLOOKUP($C38,'[2]Breakdown EU havens'!$S$4:$Y$31,J$2,0)/E106</f>
        <v>9.7877358490566024</v>
      </c>
      <c r="K38" s="281">
        <f>VLOOKUP($C38,'[2]Breakdown EU havens'!$S$4:$Y$31,K$2,0)/E106</f>
        <v>2547.1698113207549</v>
      </c>
      <c r="L38" s="308">
        <f t="shared" si="5"/>
        <v>403.30188679245293</v>
      </c>
      <c r="M38" s="290">
        <f>VLOOKUP($C38,'[2]Breakdown non-EU havens'!$K$4:$M$31,3,0)/E106</f>
        <v>372.87735849056611</v>
      </c>
      <c r="N38" s="295">
        <f>VLOOKUP($C38,'[2]Breakdown non-EU havens'!$K$4:$M$31,2,0)/E106</f>
        <v>30.424528301886795</v>
      </c>
      <c r="O38" s="308">
        <f t="shared" si="2"/>
        <v>16083.187685563444</v>
      </c>
      <c r="P38" s="308">
        <f t="shared" si="6"/>
        <v>12859.198113207549</v>
      </c>
      <c r="Q38" s="281">
        <f>VLOOKUP($C38,'[2]Breakdown EU havens'!$J$4:$P$31,Q$2,0)/E106</f>
        <v>1279.4811320754718</v>
      </c>
      <c r="R38" s="281">
        <f>VLOOKUP($C38,'[2]Breakdown EU havens'!$J$4:$P$31,R$2,0)/E106</f>
        <v>27.122641509433961</v>
      </c>
      <c r="S38" s="281">
        <f>VLOOKUP($C38,'[2]Breakdown EU havens'!$J$4:$P$31,S$2,0)/E106</f>
        <v>3167.4528301886794</v>
      </c>
      <c r="T38" s="281">
        <f>VLOOKUP($C38,'[2]Breakdown EU havens'!$J$4:$P$31,T$2,0)/E106</f>
        <v>4240.566037735849</v>
      </c>
      <c r="U38" s="281">
        <f>VLOOKUP($C38,'[2]Breakdown EU havens'!$J$4:$P$31,U$2,0)/E106</f>
        <v>242.9245283018868</v>
      </c>
      <c r="V38" s="281">
        <f>VLOOKUP($C38,'[2]Breakdown EU havens'!$J$4:$P$31,V$2,0)/E106</f>
        <v>3901.6509433962265</v>
      </c>
      <c r="W38" s="308">
        <f t="shared" si="7"/>
        <v>3223.9895723558948</v>
      </c>
      <c r="X38" s="290">
        <f>IFERROR(IFERROR(VLOOKUP(C38,'[2]Swiss pivot'!$E$3:$H$54,3,0),VLOOKUP($C38,'[2]Breakdown non-EU havens'!$F$4:$H$31,3,0)/$E$106),AK38*'[2]Non-EU tax havens'!$I$8)</f>
        <v>1447.574478016272</v>
      </c>
      <c r="Y38" s="289">
        <f>VLOOKUP($C38,'[2]Breakdown non-EU havens'!$F$4:$H$31,2,0)/E106</f>
        <v>1776.4150943396228</v>
      </c>
      <c r="Z38" s="266"/>
      <c r="AA38" s="49">
        <f>+'[2]CDIS Table-4'!O35</f>
        <v>2.0109826911602034E-2</v>
      </c>
      <c r="AB38" s="52"/>
      <c r="AC38" s="52">
        <f t="shared" si="20"/>
        <v>0</v>
      </c>
      <c r="AD38" s="52">
        <f t="shared" si="21"/>
        <v>0</v>
      </c>
      <c r="AE38" s="52">
        <f t="shared" si="22"/>
        <v>0</v>
      </c>
      <c r="AF38" s="52"/>
      <c r="AG38" s="49">
        <f t="shared" si="18"/>
        <v>2.0109826911602034E-2</v>
      </c>
      <c r="AH38" s="52"/>
      <c r="AI38" s="52">
        <f t="shared" si="23"/>
        <v>0</v>
      </c>
      <c r="AJ38" s="52"/>
      <c r="AK38" s="52">
        <f t="shared" si="12"/>
        <v>0</v>
      </c>
      <c r="AL38" s="52"/>
      <c r="AM38" s="49">
        <f>+'[2]CDIS Table-4'!U35</f>
        <v>0</v>
      </c>
      <c r="AN38" s="52"/>
      <c r="AO38" s="52">
        <f t="shared" si="24"/>
        <v>0</v>
      </c>
      <c r="AP38" s="52">
        <f t="shared" si="25"/>
        <v>0</v>
      </c>
      <c r="AQ38" s="52">
        <f t="shared" si="26"/>
        <v>0</v>
      </c>
      <c r="AR38" s="52"/>
      <c r="AS38" s="52">
        <f t="shared" si="16"/>
        <v>0</v>
      </c>
      <c r="AT38" s="52"/>
      <c r="AU38" s="52">
        <f t="shared" si="19"/>
        <v>0</v>
      </c>
    </row>
    <row r="39" spans="1:47" s="318" customFormat="1" x14ac:dyDescent="0.35">
      <c r="C39" s="317" t="s">
        <v>62</v>
      </c>
      <c r="D39" s="308">
        <f t="shared" si="0"/>
        <v>965.09433962264154</v>
      </c>
      <c r="E39" s="308">
        <f t="shared" si="4"/>
        <v>929.48113207547169</v>
      </c>
      <c r="F39" s="281">
        <f>VLOOKUP($C39,'[2]Breakdown EU havens'!$S$4:$Y$31,F$2,0)/E106</f>
        <v>79.009433962264154</v>
      </c>
      <c r="G39" s="281">
        <f>VLOOKUP($C39,'[2]Breakdown EU havens'!$S$4:$Y$31,G$2,0)/E106</f>
        <v>0</v>
      </c>
      <c r="H39" s="281">
        <f>VLOOKUP($C39,'[2]Breakdown EU havens'!$S$4:$Y$31,H$2,0)/E106</f>
        <v>19.693396226415093</v>
      </c>
      <c r="I39" s="281">
        <f>VLOOKUP($C39,'[2]Breakdown EU havens'!$S$4:$Y$31,I$2,0)/E106</f>
        <v>426.41509433962261</v>
      </c>
      <c r="J39" s="281">
        <f>VLOOKUP($C39,'[2]Breakdown EU havens'!$S$4:$Y$31,J$2,0)/E106</f>
        <v>2.2405660377358489</v>
      </c>
      <c r="K39" s="281">
        <f>VLOOKUP($C39,'[2]Breakdown EU havens'!$S$4:$Y$31,K$2,0)/E106</f>
        <v>402.12264150943395</v>
      </c>
      <c r="L39" s="308">
        <f t="shared" si="5"/>
        <v>35.613207547169807</v>
      </c>
      <c r="M39" s="290">
        <f>VLOOKUP($C39,'[2]Breakdown non-EU havens'!$K$4:$M$31,3,0)/E106</f>
        <v>16.15566037735849</v>
      </c>
      <c r="N39" s="295">
        <f>VLOOKUP($C39,'[2]Breakdown non-EU havens'!$K$4:$M$31,2,0)/E106</f>
        <v>19.45754716981132</v>
      </c>
      <c r="O39" s="308">
        <f t="shared" si="2"/>
        <v>11547.35256758835</v>
      </c>
      <c r="P39" s="308">
        <f t="shared" si="6"/>
        <v>9529.2452830188686</v>
      </c>
      <c r="Q39" s="281">
        <f>VLOOKUP($C39,'[2]Breakdown EU havens'!$J$4:$P$31,Q$2,0)/E106</f>
        <v>1330.1886792452831</v>
      </c>
      <c r="R39" s="281">
        <f>VLOOKUP($C39,'[2]Breakdown EU havens'!$J$4:$P$31,R$2,0)/E106</f>
        <v>150.9433962264151</v>
      </c>
      <c r="S39" s="281">
        <f>VLOOKUP($C39,'[2]Breakdown EU havens'!$J$4:$P$31,S$2,0)/E106</f>
        <v>3575.4716981132078</v>
      </c>
      <c r="T39" s="281">
        <f>VLOOKUP($C39,'[2]Breakdown EU havens'!$J$4:$P$31,T$2,0)/E106</f>
        <v>2037.7358490566039</v>
      </c>
      <c r="U39" s="281">
        <f>VLOOKUP($C39,'[2]Breakdown EU havens'!$J$4:$P$31,U$2,0)/E106</f>
        <v>234.78773584905662</v>
      </c>
      <c r="V39" s="281">
        <f>VLOOKUP($C39,'[2]Breakdown EU havens'!$J$4:$P$31,V$2,0)/E106</f>
        <v>2200.117924528302</v>
      </c>
      <c r="W39" s="308">
        <f t="shared" si="7"/>
        <v>2018.1072845694812</v>
      </c>
      <c r="X39" s="290">
        <f>IFERROR(IFERROR(VLOOKUP(C39,'[2]Swiss pivot'!$E$3:$H$54,3,0),VLOOKUP($C39,'[2]Breakdown non-EU havens'!$F$4:$H$31,3,0)/$E$106),AK39*'[2]Non-EU tax havens'!$I$8)</f>
        <v>625.89030343740569</v>
      </c>
      <c r="Y39" s="289">
        <f>VLOOKUP($C39,'[2]Breakdown non-EU havens'!$F$4:$H$31,2,0)/E106</f>
        <v>1392.2169811320755</v>
      </c>
      <c r="Z39" s="266"/>
      <c r="AA39" s="49">
        <f>+'[2]CDIS Table-4'!O36</f>
        <v>1.0367762926519983E-2</v>
      </c>
      <c r="AB39" s="319"/>
      <c r="AC39" s="52">
        <f t="shared" si="20"/>
        <v>0</v>
      </c>
      <c r="AD39" s="52">
        <f t="shared" si="21"/>
        <v>0</v>
      </c>
      <c r="AE39" s="52">
        <f t="shared" si="22"/>
        <v>0</v>
      </c>
      <c r="AF39" s="319"/>
      <c r="AG39" s="49">
        <f t="shared" si="18"/>
        <v>1.0367762926519983E-2</v>
      </c>
      <c r="AH39" s="319"/>
      <c r="AI39" s="52">
        <f t="shared" si="23"/>
        <v>0</v>
      </c>
      <c r="AJ39" s="52"/>
      <c r="AK39" s="52">
        <f t="shared" si="12"/>
        <v>0</v>
      </c>
      <c r="AL39" s="319"/>
      <c r="AM39" s="49">
        <f>+'[2]CDIS Table-4'!U36</f>
        <v>0</v>
      </c>
      <c r="AN39" s="319"/>
      <c r="AO39" s="52">
        <f t="shared" si="24"/>
        <v>0</v>
      </c>
      <c r="AP39" s="52">
        <f t="shared" si="25"/>
        <v>0</v>
      </c>
      <c r="AQ39" s="52">
        <f t="shared" si="26"/>
        <v>0</v>
      </c>
      <c r="AR39" s="319"/>
      <c r="AS39" s="52">
        <f t="shared" si="16"/>
        <v>0</v>
      </c>
      <c r="AT39" s="319"/>
      <c r="AU39" s="52">
        <f t="shared" si="19"/>
        <v>0</v>
      </c>
    </row>
    <row r="40" spans="1:47" x14ac:dyDescent="0.35">
      <c r="A40" s="318"/>
      <c r="B40" s="318"/>
      <c r="C40" s="317" t="s">
        <v>63</v>
      </c>
      <c r="D40" s="314"/>
      <c r="E40" s="314">
        <f t="shared" si="4"/>
        <v>4169.9292452830186</v>
      </c>
      <c r="F40" s="315">
        <f>HLOOKUP($C40,'[2]Interest shifted to EU'!$L$2:$AT$8,F$2,0)/E106</f>
        <v>288.44339622641508</v>
      </c>
      <c r="G40" s="315">
        <f>HLOOKUP($C40,'[2]Interest shifted to EU'!$L$2:$AT$8,G$2,0)/E106</f>
        <v>7.5471698113207539</v>
      </c>
      <c r="H40" s="315">
        <f>HLOOKUP($C40,'[2]Interest shifted to EU'!$L$2:$AT$8,H$2,0)/E106</f>
        <v>178.65566037735849</v>
      </c>
      <c r="I40" s="315">
        <f>HLOOKUP($C40,'[2]Interest shifted to EU'!$L$2:$AT$8,I$2,0)/E106</f>
        <v>721.93396226415098</v>
      </c>
      <c r="J40" s="315">
        <f>HLOOKUP($C40,'[2]Interest shifted to EU'!$L$2:$AT$8,J$2,0)/E106</f>
        <v>931.72169811320759</v>
      </c>
      <c r="K40" s="315">
        <f>HLOOKUP($C40,'[2]Interest shifted to EU'!$L$2:$AT$8,K$2,0)/E106</f>
        <v>2041.6273584905659</v>
      </c>
      <c r="L40" s="314"/>
      <c r="M40" s="313">
        <v>0</v>
      </c>
      <c r="N40" s="316"/>
      <c r="O40" s="314"/>
      <c r="P40" s="314">
        <f t="shared" si="6"/>
        <v>19824.41037735849</v>
      </c>
      <c r="Q40" s="315">
        <f>HLOOKUP($C40,'[2]Non EU income shifted to EU'!$B$2:$AI$9,Q$2+1,0)/E106</f>
        <v>3975.2358490566039</v>
      </c>
      <c r="R40" s="315">
        <f>HLOOKUP($C40,'[2]Non EU income shifted to EU'!$B$2:$AI$9,R$2+1,0)/E106</f>
        <v>8.2547169811320753</v>
      </c>
      <c r="S40" s="315">
        <f>HLOOKUP($C40,'[2]Non EU income shifted to EU'!$B$2:$AI$9,S$2+1,0)/E106</f>
        <v>3201.7688679245284</v>
      </c>
      <c r="T40" s="315">
        <f>HLOOKUP($C40,'[2]Non EU income shifted to EU'!$B$2:$AI$9,T$2+1,0)/E106</f>
        <v>7285.3773584905666</v>
      </c>
      <c r="U40" s="315">
        <f>HLOOKUP($C40,'[2]Non EU income shifted to EU'!$B$2:$AI$9,U$2+1,0)/E106</f>
        <v>133.25471698113208</v>
      </c>
      <c r="V40" s="315">
        <f>HLOOKUP($C40,'[2]Non EU income shifted to EU'!$B$2:$AI$9,V$2+1,0)/E106</f>
        <v>5220.5188679245284</v>
      </c>
      <c r="W40" s="314"/>
      <c r="X40" s="290">
        <f>IFERROR(IFERROR(VLOOKUP(C40,'[2]Swiss pivot'!$E$3:$H$54,3,0),VLOOKUP($C40,'[2]Breakdown non-EU havens'!$F$4:$H$31,3,0)/$E$106),AK40*'[2]Non-EU tax havens'!$I$8)</f>
        <v>0</v>
      </c>
      <c r="Y40" s="312"/>
      <c r="Z40" s="266"/>
      <c r="AA40" s="49">
        <f>+'[2]CDIS Table-4'!O37</f>
        <v>4.0242172386703134E-2</v>
      </c>
      <c r="AB40" s="52">
        <v>0</v>
      </c>
      <c r="AC40" s="52">
        <f t="shared" si="20"/>
        <v>0</v>
      </c>
      <c r="AD40" s="52">
        <f t="shared" si="21"/>
        <v>0</v>
      </c>
      <c r="AE40" s="52">
        <f t="shared" si="22"/>
        <v>0</v>
      </c>
      <c r="AF40" s="52"/>
      <c r="AG40" s="49">
        <f t="shared" si="18"/>
        <v>4.0242172386703134E-2</v>
      </c>
      <c r="AH40" s="52">
        <v>0</v>
      </c>
      <c r="AI40" s="52">
        <f t="shared" si="23"/>
        <v>0</v>
      </c>
      <c r="AJ40" s="52"/>
      <c r="AK40" s="52">
        <f t="shared" si="12"/>
        <v>0</v>
      </c>
      <c r="AL40" s="52"/>
      <c r="AM40" s="49">
        <f>+'[2]CDIS Table-4'!U37</f>
        <v>0</v>
      </c>
      <c r="AN40" s="52">
        <v>0</v>
      </c>
      <c r="AO40" s="52">
        <f t="shared" si="24"/>
        <v>0</v>
      </c>
      <c r="AP40" s="52">
        <f t="shared" si="25"/>
        <v>0</v>
      </c>
      <c r="AQ40" s="52">
        <f t="shared" si="26"/>
        <v>0</v>
      </c>
      <c r="AR40" s="52"/>
      <c r="AS40" s="52">
        <f t="shared" si="16"/>
        <v>0</v>
      </c>
      <c r="AT40" s="52"/>
      <c r="AU40" s="52">
        <f t="shared" si="19"/>
        <v>0</v>
      </c>
    </row>
    <row r="41" spans="1:47" x14ac:dyDescent="0.35">
      <c r="C41" s="297" t="s">
        <v>64</v>
      </c>
      <c r="D41" s="308">
        <f t="shared" ref="D41:D51" si="27">+E41+L41</f>
        <v>513.43032321335613</v>
      </c>
      <c r="E41" s="308">
        <f t="shared" si="4"/>
        <v>287.85377358490564</v>
      </c>
      <c r="F41" s="281">
        <f>HLOOKUP($C41,'[2]Interest shifted to EU'!$L$2:$AT$8,F$2,0)/E106</f>
        <v>52.004716981132077</v>
      </c>
      <c r="G41" s="281">
        <f>HLOOKUP($C41,'[2]Interest shifted to EU'!$L$2:$AT$8,G$2,0)/E106</f>
        <v>0</v>
      </c>
      <c r="H41" s="281">
        <f>HLOOKUP($C41,'[2]Interest shifted to EU'!$L$2:$AT$8,H$2,0)/E106</f>
        <v>0</v>
      </c>
      <c r="I41" s="281">
        <f>HLOOKUP($C41,'[2]Interest shifted to EU'!$L$2:$AT$8,I$2,0)/E106</f>
        <v>30.54245283018868</v>
      </c>
      <c r="J41" s="281">
        <f>HLOOKUP($C41,'[2]Interest shifted to EU'!$L$2:$AT$8,J$2,0)/E106</f>
        <v>7.1933962264150937</v>
      </c>
      <c r="K41" s="281">
        <f>HLOOKUP($C41,'[2]Interest shifted to EU'!$L$2:$AT$8,K$2,0)/E106</f>
        <v>198.11320754716982</v>
      </c>
      <c r="L41" s="308">
        <f>SUM(M41:N41)</f>
        <v>225.57654962845055</v>
      </c>
      <c r="M41" s="290">
        <f>AC41*'[2]Non-EU tax havens'!$K$8</f>
        <v>32.136204406815821</v>
      </c>
      <c r="N41" s="295">
        <f>AC41*'[2]Non-EU tax havens'!$K$13</f>
        <v>193.44034522163474</v>
      </c>
      <c r="O41" s="308">
        <f t="shared" ref="O41:O51" si="28">+P41+W41</f>
        <v>5093.0748001625207</v>
      </c>
      <c r="P41" s="308">
        <f t="shared" si="6"/>
        <v>1822.4056603773586</v>
      </c>
      <c r="Q41" s="281">
        <f>HLOOKUP($C41,'[2]Non EU income shifted to EU'!$B$2:$AI$9,Q$2+1,0)/E106</f>
        <v>436.91037735849056</v>
      </c>
      <c r="R41" s="281">
        <f>HLOOKUP($C41,'[2]Non EU income shifted to EU'!$B$2:$AI$9,R$2+1,0)/E106</f>
        <v>2.2405660377358489</v>
      </c>
      <c r="S41" s="281">
        <f>HLOOKUP($C41,'[2]Non EU income shifted to EU'!$B$2:$AI$9,S$2+1,0)/E106</f>
        <v>608.96226415094338</v>
      </c>
      <c r="T41" s="281">
        <f>HLOOKUP($C41,'[2]Non EU income shifted to EU'!$B$2:$AI$9,T$2+1,0)/E106</f>
        <v>181.60377358490567</v>
      </c>
      <c r="U41" s="281">
        <f>HLOOKUP($C41,'[2]Non EU income shifted to EU'!$B$2:$AI$9,U$2+1,0)/E106</f>
        <v>55.54245283018868</v>
      </c>
      <c r="V41" s="281">
        <f>HLOOKUP($C41,'[2]Non EU income shifted to EU'!$B$2:$AI$9,V$2+1,0)/E106</f>
        <v>537.14622641509436</v>
      </c>
      <c r="W41" s="308">
        <f>SUM(X41:Y41)</f>
        <v>3270.6691397851619</v>
      </c>
      <c r="X41" s="290">
        <f>IFERROR(IFERROR(VLOOKUP(C41,'[2]Swiss pivot'!$E$3:$H$54,3,0),VLOOKUP($C41,'[2]Breakdown non-EU havens'!$F$4:$H$31,3,0)/$E$106),AK41*'[2]Non-EU tax havens'!$I$8)</f>
        <v>490.80924100669074</v>
      </c>
      <c r="Y41" s="289">
        <f>AE41*'[2]Non-EU tax havens'!$I$13</f>
        <v>2779.8598987784712</v>
      </c>
      <c r="Z41" s="266"/>
      <c r="AA41" s="49">
        <f>+'[2]CDIS Table-4'!O38</f>
        <v>3.2883376727278189E-3</v>
      </c>
      <c r="AB41" s="52">
        <f>+AA41</f>
        <v>3.2883376727278189E-3</v>
      </c>
      <c r="AC41" s="52">
        <f t="shared" si="20"/>
        <v>6.5474521019550595E-3</v>
      </c>
      <c r="AD41" s="52">
        <f t="shared" si="21"/>
        <v>3.2883376727278189E-3</v>
      </c>
      <c r="AE41" s="52">
        <f t="shared" si="22"/>
        <v>8.3152564327956605E-3</v>
      </c>
      <c r="AF41" s="52"/>
      <c r="AG41" s="49">
        <f t="shared" si="18"/>
        <v>3.2883376727278189E-3</v>
      </c>
      <c r="AH41" s="52">
        <f>+AG41</f>
        <v>3.2883376727278189E-3</v>
      </c>
      <c r="AI41" s="52">
        <f t="shared" si="23"/>
        <v>6.5474521019550595E-3</v>
      </c>
      <c r="AJ41" s="52"/>
      <c r="AK41" s="52">
        <f t="shared" ref="AK41:AK72" si="29">+AJ41/$AJ$102</f>
        <v>0</v>
      </c>
      <c r="AL41" s="52"/>
      <c r="AM41" s="49">
        <f>+'[2]CDIS Table-4'!U38</f>
        <v>0</v>
      </c>
      <c r="AN41" s="52">
        <f>+AM41</f>
        <v>0</v>
      </c>
      <c r="AO41" s="52">
        <f t="shared" si="24"/>
        <v>0</v>
      </c>
      <c r="AP41" s="52">
        <f t="shared" si="25"/>
        <v>0</v>
      </c>
      <c r="AQ41" s="52">
        <f t="shared" si="26"/>
        <v>0</v>
      </c>
      <c r="AR41" s="52"/>
      <c r="AS41" s="52">
        <f t="shared" ref="AS41:AS72" si="30">+AR41/$AR$102</f>
        <v>0</v>
      </c>
      <c r="AT41" s="52"/>
      <c r="AU41" s="52">
        <f t="shared" si="19"/>
        <v>0</v>
      </c>
    </row>
    <row r="42" spans="1:47" x14ac:dyDescent="0.35">
      <c r="C42" s="297" t="s">
        <v>65</v>
      </c>
      <c r="D42" s="308">
        <f t="shared" si="27"/>
        <v>11560.495283018867</v>
      </c>
      <c r="E42" s="308">
        <f t="shared" si="4"/>
        <v>10558.018867924528</v>
      </c>
      <c r="F42" s="281">
        <f>VLOOKUP($C42,'[2]Breakdown EU havens'!$S$4:$Y$31,F$2,0)/E106</f>
        <v>2904.4811320754716</v>
      </c>
      <c r="G42" s="281">
        <f>VLOOKUP($C42,'[2]Breakdown EU havens'!$S$4:$Y$31,G$2,0)/E106</f>
        <v>13.089622641509434</v>
      </c>
      <c r="H42" s="281">
        <f>VLOOKUP($C42,'[2]Breakdown EU havens'!$S$4:$Y$31,H$2,0)/E106</f>
        <v>719.33962264150944</v>
      </c>
      <c r="I42" s="281">
        <f>VLOOKUP($C42,'[2]Breakdown EU havens'!$S$4:$Y$31,I$2,0)/E106</f>
        <v>2821.2264150943397</v>
      </c>
      <c r="J42" s="281">
        <f>VLOOKUP($C42,'[2]Breakdown EU havens'!$S$4:$Y$31,J$2,0)/E106</f>
        <v>30.306603773584911</v>
      </c>
      <c r="K42" s="281">
        <f>VLOOKUP($C42,'[2]Breakdown EU havens'!$S$4:$Y$31,K$2,0)/E106</f>
        <v>4069.5754716981132</v>
      </c>
      <c r="L42" s="308">
        <f>SUM(M42:N42)</f>
        <v>1002.4764150943397</v>
      </c>
      <c r="M42" s="290">
        <f>VLOOKUP($C42,'[2]Breakdown non-EU havens'!$K$4:$M$31,3,0)/E106</f>
        <v>513.08962264150944</v>
      </c>
      <c r="N42" s="295">
        <f>VLOOKUP($C42,'[2]Breakdown non-EU havens'!$K$4:$M$31,2,0)/E106</f>
        <v>489.38679245283021</v>
      </c>
      <c r="O42" s="308">
        <f t="shared" si="28"/>
        <v>97485.969465389979</v>
      </c>
      <c r="P42" s="308">
        <f t="shared" si="6"/>
        <v>70788.325471698103</v>
      </c>
      <c r="Q42" s="281">
        <f>VLOOKUP($C42,'[2]Breakdown EU havens'!$J$4:$P$31,Q$2,0)/E106</f>
        <v>6961.0849056603774</v>
      </c>
      <c r="R42" s="281">
        <f>VLOOKUP($C42,'[2]Breakdown EU havens'!$J$4:$P$31,R$2,0)/E106</f>
        <v>389.97641509433964</v>
      </c>
      <c r="S42" s="281">
        <f>VLOOKUP($C42,'[2]Breakdown EU havens'!$J$4:$P$31,S$2,0)/E106</f>
        <v>25193.396226415094</v>
      </c>
      <c r="T42" s="281">
        <f>VLOOKUP($C42,'[2]Breakdown EU havens'!$J$4:$P$31,T$2,0)/E106</f>
        <v>15873.113207547171</v>
      </c>
      <c r="U42" s="281">
        <f>VLOOKUP($C42,'[2]Breakdown EU havens'!$J$4:$P$31,U$2,0)/E106</f>
        <v>1069.1037735849056</v>
      </c>
      <c r="V42" s="281">
        <f>VLOOKUP($C42,'[2]Breakdown EU havens'!$J$4:$P$31,V$2,0)/E106</f>
        <v>21301.650943396227</v>
      </c>
      <c r="W42" s="308">
        <f>SUM(X42:Y42)</f>
        <v>26697.64399369188</v>
      </c>
      <c r="X42" s="290">
        <f>IFERROR(IFERROR(VLOOKUP(C42,'[2]Swiss pivot'!$E$3:$H$54,3,0),VLOOKUP($C42,'[2]Breakdown non-EU havens'!$F$4:$H$31,3,0)/$E$106),AK42*'[2]Non-EU tax havens'!$I$8)</f>
        <v>8234.5543710503698</v>
      </c>
      <c r="Y42" s="289">
        <f>VLOOKUP($C42,'[2]Breakdown non-EU havens'!$F$4:$H$31,2,0)/E106</f>
        <v>18463.08962264151</v>
      </c>
      <c r="Z42" s="266"/>
      <c r="AA42" s="49">
        <f>+'[2]CDIS Table-4'!O39</f>
        <v>4.5338525604610186E-2</v>
      </c>
      <c r="AB42" s="52"/>
      <c r="AC42" s="52">
        <f t="shared" si="20"/>
        <v>0</v>
      </c>
      <c r="AD42" s="52">
        <f t="shared" si="21"/>
        <v>0</v>
      </c>
      <c r="AE42" s="52">
        <f t="shared" si="22"/>
        <v>0</v>
      </c>
      <c r="AF42" s="52"/>
      <c r="AG42" s="49">
        <f t="shared" si="18"/>
        <v>4.5338525604610186E-2</v>
      </c>
      <c r="AH42" s="52"/>
      <c r="AI42" s="52">
        <f t="shared" si="23"/>
        <v>0</v>
      </c>
      <c r="AJ42" s="52"/>
      <c r="AK42" s="52">
        <f t="shared" si="29"/>
        <v>0</v>
      </c>
      <c r="AL42" s="52"/>
      <c r="AM42" s="49">
        <f>+'[2]CDIS Table-4'!U39</f>
        <v>0</v>
      </c>
      <c r="AN42" s="52"/>
      <c r="AO42" s="52">
        <f t="shared" si="24"/>
        <v>0</v>
      </c>
      <c r="AP42" s="52">
        <f t="shared" si="25"/>
        <v>0</v>
      </c>
      <c r="AQ42" s="52">
        <f t="shared" si="26"/>
        <v>0</v>
      </c>
      <c r="AR42" s="52"/>
      <c r="AS42" s="52">
        <f t="shared" si="30"/>
        <v>0</v>
      </c>
      <c r="AT42" s="52"/>
      <c r="AU42" s="52">
        <f t="shared" si="19"/>
        <v>0</v>
      </c>
    </row>
    <row r="43" spans="1:47" x14ac:dyDescent="0.35">
      <c r="C43" s="297" t="s">
        <v>66</v>
      </c>
      <c r="D43" s="308">
        <f t="shared" si="27"/>
        <v>14183.49907707612</v>
      </c>
      <c r="E43" s="308">
        <f t="shared" si="4"/>
        <v>6858.9622641509432</v>
      </c>
      <c r="F43" s="281">
        <f>HLOOKUP($C43,'[2]Interest shifted to EU'!$L$2:$AT$8,F$2,0)/E106</f>
        <v>-4.8349056603773581</v>
      </c>
      <c r="G43" s="281">
        <f>HLOOKUP($C43,'[2]Interest shifted to EU'!$L$2:$AT$8,G$2,0)/E106</f>
        <v>-0.23584905660377362</v>
      </c>
      <c r="H43" s="281">
        <f>HLOOKUP($C43,'[2]Interest shifted to EU'!$L$2:$AT$8,H$2,0)/E106</f>
        <v>-5.1886792452830193</v>
      </c>
      <c r="I43" s="281">
        <f>HLOOKUP($C43,'[2]Interest shifted to EU'!$L$2:$AT$8,I$2,0)/E106</f>
        <v>-20.754716981132077</v>
      </c>
      <c r="J43" s="281">
        <f>HLOOKUP($C43,'[2]Interest shifted to EU'!$L$2:$AT$8,J$2,0)/E106</f>
        <v>-0.35377358490566035</v>
      </c>
      <c r="K43" s="281">
        <f>HLOOKUP($C43,'[2]Interest shifted to EU'!$L$2:$AT$8,K$2,0)/E106</f>
        <v>6890.3301886792451</v>
      </c>
      <c r="L43" s="308">
        <f>SUM(M43:N43)</f>
        <v>7324.5368129251765</v>
      </c>
      <c r="M43" s="290">
        <f>AC43*'[2]Non-EU tax havens'!$K$8</f>
        <v>1043.4719947313326</v>
      </c>
      <c r="N43" s="295">
        <f>AC43*'[2]Non-EU tax havens'!$K$13</f>
        <v>6281.0648181938441</v>
      </c>
      <c r="O43" s="308">
        <f t="shared" si="28"/>
        <v>150496.78260309351</v>
      </c>
      <c r="P43" s="308">
        <f t="shared" si="6"/>
        <v>47033.844339622636</v>
      </c>
      <c r="Q43" s="281">
        <f>HLOOKUP($C43,'[2]Non EU income shifted to EU'!$B$2:$AI$9,Q$2+1,0)/E106</f>
        <v>9679.3632075471705</v>
      </c>
      <c r="R43" s="281">
        <f>HLOOKUP($C43,'[2]Non EU income shifted to EU'!$B$2:$AI$9,R$2+1,0)/E106</f>
        <v>388.79716981132077</v>
      </c>
      <c r="S43" s="281">
        <f>HLOOKUP($C43,'[2]Non EU income shifted to EU'!$B$2:$AI$9,S$2+1,0)/E106</f>
        <v>18341.981132075471</v>
      </c>
      <c r="T43" s="281">
        <f>HLOOKUP($C43,'[2]Non EU income shifted to EU'!$B$2:$AI$9,T$2+1,0)/E106</f>
        <v>5488.2075471698117</v>
      </c>
      <c r="U43" s="281">
        <f>HLOOKUP($C43,'[2]Non EU income shifted to EU'!$B$2:$AI$9,U$2+1,0)/E106</f>
        <v>70.99056603773586</v>
      </c>
      <c r="V43" s="281">
        <f>HLOOKUP($C43,'[2]Non EU income shifted to EU'!$B$2:$AI$9,V$2+1,0)/E106</f>
        <v>13064.504716981133</v>
      </c>
      <c r="W43" s="308">
        <f>SUM(X43:Y43)</f>
        <v>103462.93826347087</v>
      </c>
      <c r="X43" s="290">
        <f>+'[2]Swiss pivot'!$G$53</f>
        <v>14693.997542362997</v>
      </c>
      <c r="Y43" s="289">
        <f>+'[2]Non-EU tax havens'!$H$13</f>
        <v>88768.94072110788</v>
      </c>
      <c r="Z43" s="266"/>
      <c r="AA43" s="49">
        <f>+'[2]CDIS Table-4'!O40</f>
        <v>0.1067732899403558</v>
      </c>
      <c r="AB43" s="52">
        <f>+AA43</f>
        <v>0.1067732899403558</v>
      </c>
      <c r="AC43" s="52">
        <f t="shared" si="20"/>
        <v>0.21259769258207342</v>
      </c>
      <c r="AD43" s="52"/>
      <c r="AE43" s="52">
        <f t="shared" si="22"/>
        <v>0</v>
      </c>
      <c r="AF43" s="52"/>
      <c r="AG43" s="49">
        <f t="shared" si="18"/>
        <v>0.1067732899403558</v>
      </c>
      <c r="AH43" s="52">
        <f>+AG43</f>
        <v>0.1067732899403558</v>
      </c>
      <c r="AI43" s="52">
        <f t="shared" si="23"/>
        <v>0.21259769258207342</v>
      </c>
      <c r="AJ43" s="52"/>
      <c r="AK43" s="52">
        <f t="shared" si="29"/>
        <v>0</v>
      </c>
      <c r="AL43" s="52"/>
      <c r="AM43" s="49">
        <f>+'[2]CDIS Table-4'!U40</f>
        <v>0</v>
      </c>
      <c r="AN43" s="52">
        <f>+AM43</f>
        <v>0</v>
      </c>
      <c r="AO43" s="52">
        <f t="shared" si="24"/>
        <v>0</v>
      </c>
      <c r="AP43" s="52"/>
      <c r="AQ43" s="52">
        <f t="shared" si="26"/>
        <v>0</v>
      </c>
      <c r="AR43" s="52"/>
      <c r="AS43" s="52">
        <f t="shared" si="30"/>
        <v>0</v>
      </c>
      <c r="AT43" s="52"/>
      <c r="AU43" s="52">
        <f t="shared" si="19"/>
        <v>0</v>
      </c>
    </row>
    <row r="44" spans="1:47" ht="46.5" x14ac:dyDescent="0.35">
      <c r="C44" s="307" t="s">
        <v>67</v>
      </c>
      <c r="D44" s="304">
        <f t="shared" si="27"/>
        <v>15166.719362668304</v>
      </c>
      <c r="E44" s="304">
        <f t="shared" ref="E44:N44" si="31">+SUM(E45:E51)</f>
        <v>6541.9839793889487</v>
      </c>
      <c r="F44" s="269">
        <f t="shared" si="31"/>
        <v>1043.4690833082877</v>
      </c>
      <c r="G44" s="269">
        <f t="shared" si="31"/>
        <v>179.84052843497489</v>
      </c>
      <c r="H44" s="269">
        <f t="shared" si="31"/>
        <v>-48.356556679757972</v>
      </c>
      <c r="I44" s="269">
        <f t="shared" si="31"/>
        <v>590.74021447016435</v>
      </c>
      <c r="J44" s="269">
        <f t="shared" si="31"/>
        <v>1919.069527019253</v>
      </c>
      <c r="K44" s="269">
        <f t="shared" si="31"/>
        <v>2857.2211828360269</v>
      </c>
      <c r="L44" s="304">
        <f t="shared" si="31"/>
        <v>8624.7353832793542</v>
      </c>
      <c r="M44" s="269">
        <f t="shared" si="31"/>
        <v>1228.7015635636142</v>
      </c>
      <c r="N44" s="274">
        <f t="shared" si="31"/>
        <v>7396.0338197157416</v>
      </c>
      <c r="O44" s="304">
        <f t="shared" si="28"/>
        <v>134484.79191119492</v>
      </c>
      <c r="P44" s="304">
        <f t="shared" ref="P44:Y44" si="32">+SUM(P45:P51)</f>
        <v>22971.410548264546</v>
      </c>
      <c r="Q44" s="281">
        <f t="shared" si="32"/>
        <v>1377.9934600899226</v>
      </c>
      <c r="R44" s="281">
        <f t="shared" si="32"/>
        <v>683.87811250829998</v>
      </c>
      <c r="S44" s="281">
        <f t="shared" si="32"/>
        <v>12161.769603183684</v>
      </c>
      <c r="T44" s="281">
        <f t="shared" si="32"/>
        <v>1389.327290825524</v>
      </c>
      <c r="U44" s="281">
        <f t="shared" si="32"/>
        <v>10.870834845594903</v>
      </c>
      <c r="V44" s="281">
        <f t="shared" si="32"/>
        <v>7347.5712468115216</v>
      </c>
      <c r="W44" s="304">
        <f t="shared" si="32"/>
        <v>111513.38136293036</v>
      </c>
      <c r="X44" s="269">
        <f t="shared" si="32"/>
        <v>5227.7055289643176</v>
      </c>
      <c r="Y44" s="267">
        <f t="shared" si="32"/>
        <v>106285.67583396604</v>
      </c>
      <c r="Z44" s="266"/>
      <c r="AA44" s="49"/>
      <c r="AB44" s="52"/>
      <c r="AC44" s="52">
        <f t="shared" si="20"/>
        <v>0</v>
      </c>
      <c r="AD44" s="52"/>
      <c r="AE44" s="52">
        <f t="shared" si="22"/>
        <v>0</v>
      </c>
      <c r="AF44" s="52"/>
      <c r="AG44" s="49"/>
      <c r="AH44" s="52"/>
      <c r="AI44" s="52">
        <f t="shared" si="23"/>
        <v>0</v>
      </c>
      <c r="AJ44" s="52"/>
      <c r="AK44" s="52">
        <f t="shared" si="29"/>
        <v>0</v>
      </c>
      <c r="AL44" s="52"/>
      <c r="AM44" s="49"/>
      <c r="AN44" s="52"/>
      <c r="AO44" s="52">
        <f t="shared" si="24"/>
        <v>0</v>
      </c>
      <c r="AP44" s="52"/>
      <c r="AQ44" s="52">
        <f t="shared" si="26"/>
        <v>0</v>
      </c>
      <c r="AR44" s="52"/>
      <c r="AS44" s="52">
        <f t="shared" si="30"/>
        <v>0</v>
      </c>
      <c r="AT44" s="52"/>
      <c r="AU44" s="52">
        <f t="shared" si="19"/>
        <v>0</v>
      </c>
    </row>
    <row r="45" spans="1:47" x14ac:dyDescent="0.35">
      <c r="C45" s="311" t="s">
        <v>68</v>
      </c>
      <c r="D45" s="308">
        <f t="shared" si="27"/>
        <v>4854.8749782301338</v>
      </c>
      <c r="E45" s="308">
        <f t="shared" ref="E45:E51" si="33">SUM(F45:K45)</f>
        <v>3626.4150943396226</v>
      </c>
      <c r="F45" s="281">
        <f>HLOOKUP($C45,'[2]Interest shifted to EU'!$L$2:$AT$8,F$2,0)/E$106</f>
        <v>535.49528301886801</v>
      </c>
      <c r="G45" s="281">
        <f>HLOOKUP($C45,'[2]Interest shifted to EU'!$L$2:$AT$8,G$2,0)/E$106</f>
        <v>0</v>
      </c>
      <c r="H45" s="281">
        <f>HLOOKUP($C45,'[2]Interest shifted to EU'!$L$2:$AT$8,H$2,0)/E$106</f>
        <v>0</v>
      </c>
      <c r="I45" s="281">
        <f>HLOOKUP($C45,'[2]Interest shifted to EU'!$L$2:$AT$8,I$2,0)/E$106</f>
        <v>387.6179245283019</v>
      </c>
      <c r="J45" s="281">
        <f>HLOOKUP($C45,'[2]Interest shifted to EU'!$L$2:$AT$8,J$2,0)/E$106</f>
        <v>923.82075471698113</v>
      </c>
      <c r="K45" s="281">
        <f>HLOOKUP($C45,'[2]Interest shifted to EU'!$L$2:$AT$8,K$2,0)/E$106</f>
        <v>1779.4811320754718</v>
      </c>
      <c r="L45" s="308">
        <f t="shared" ref="L45:L51" si="34">SUM(M45:N45)</f>
        <v>1228.4598838905113</v>
      </c>
      <c r="M45" s="290">
        <f>AC45*'[2]Non-EU tax havens'!$K$8</f>
        <v>175.0094945565192</v>
      </c>
      <c r="N45" s="295">
        <f>AC45*'[2]Non-EU tax havens'!$K$13</f>
        <v>1053.450389333992</v>
      </c>
      <c r="O45" s="308">
        <f t="shared" si="28"/>
        <v>18811.813327531883</v>
      </c>
      <c r="P45" s="308">
        <f t="shared" ref="P45:P51" si="35">SUM(Q45:V45)</f>
        <v>3301.8867924528304</v>
      </c>
      <c r="Q45" s="281">
        <f>HLOOKUP($C45,'[2]Non EU income shifted to EU'!$B$2:$AI$9,Q$2+1,0)/E$106</f>
        <v>178.06603773584905</v>
      </c>
      <c r="R45" s="281">
        <f>HLOOKUP($C45,'[2]Non EU income shifted to EU'!$B$2:$AI$9,R$2+1,0)/E$106</f>
        <v>0.70754716981132071</v>
      </c>
      <c r="S45" s="281">
        <f>HLOOKUP($C45,'[2]Non EU income shifted to EU'!$B$2:$AI$9,S$2+1,0)/E$106</f>
        <v>1370.2830188679245</v>
      </c>
      <c r="T45" s="281">
        <f>HLOOKUP($C45,'[2]Non EU income shifted to EU'!$B$2:$AI$9,T$2+1,0)/E$106</f>
        <v>181.60377358490567</v>
      </c>
      <c r="U45" s="281">
        <f>HLOOKUP($C45,'[2]Non EU income shifted to EU'!$B$2:$AI$9,U$2+1,0)/E$106</f>
        <v>0</v>
      </c>
      <c r="V45" s="281">
        <f>HLOOKUP($C45,'[2]Non EU income shifted to EU'!$B$2:$AI$9,V$2+1,0)/E$106</f>
        <v>1571.2264150943397</v>
      </c>
      <c r="W45" s="308">
        <f t="shared" ref="W45:W51" si="36">SUM(X45:Y45)</f>
        <v>15509.926535079054</v>
      </c>
      <c r="X45" s="290">
        <f>IFERROR(IFERROR(VLOOKUP(C45,'[2]Swiss pivot'!$E$3:$H$54,3,0),VLOOKUP($C45,'[2]Breakdown non-EU havens'!$F$4:$H$31,3,0)/$E$106),AK45*'[2]Non-EU tax havens'!$I$8)</f>
        <v>371.17929335520495</v>
      </c>
      <c r="Y45" s="289">
        <f>AE45*'[2]Non-EU tax havens'!$I$13</f>
        <v>15138.74724172385</v>
      </c>
      <c r="Z45" s="266"/>
      <c r="AA45" s="49">
        <f>+'[2]CDIS Table-4'!O42</f>
        <v>1.7907849562756685E-2</v>
      </c>
      <c r="AB45" s="52">
        <f t="shared" ref="AB45:AB51" si="37">+AA45</f>
        <v>1.7907849562756685E-2</v>
      </c>
      <c r="AC45" s="52">
        <f t="shared" si="20"/>
        <v>3.5656553228580579E-2</v>
      </c>
      <c r="AD45" s="52">
        <f t="shared" ref="AD45:AD51" si="38">+AB45</f>
        <v>1.7907849562756685E-2</v>
      </c>
      <c r="AE45" s="52">
        <f t="shared" si="22"/>
        <v>4.5283780467327596E-2</v>
      </c>
      <c r="AF45" s="52"/>
      <c r="AG45" s="49">
        <f>+AA45</f>
        <v>1.7907849562756685E-2</v>
      </c>
      <c r="AH45" s="52">
        <f t="shared" ref="AH45:AH88" si="39">+AG45</f>
        <v>1.7907849562756685E-2</v>
      </c>
      <c r="AI45" s="52">
        <f t="shared" si="23"/>
        <v>3.5656553228580579E-2</v>
      </c>
      <c r="AJ45" s="52"/>
      <c r="AK45" s="52">
        <f t="shared" si="29"/>
        <v>0</v>
      </c>
      <c r="AL45" s="52"/>
      <c r="AM45" s="49">
        <f>+'[2]CDIS Table-4'!U42</f>
        <v>0</v>
      </c>
      <c r="AN45" s="52">
        <f t="shared" ref="AN45:AN88" si="40">+AM45</f>
        <v>0</v>
      </c>
      <c r="AO45" s="52">
        <f t="shared" si="24"/>
        <v>0</v>
      </c>
      <c r="AP45" s="52">
        <f t="shared" ref="AP45:AP88" si="41">+AN45</f>
        <v>0</v>
      </c>
      <c r="AQ45" s="52">
        <f t="shared" si="26"/>
        <v>0</v>
      </c>
      <c r="AR45" s="52">
        <f>+AF45</f>
        <v>0</v>
      </c>
      <c r="AS45" s="52">
        <f t="shared" si="30"/>
        <v>0</v>
      </c>
      <c r="AT45" s="52">
        <f>+AS45</f>
        <v>0</v>
      </c>
      <c r="AU45" s="52">
        <f t="shared" si="19"/>
        <v>0</v>
      </c>
    </row>
    <row r="46" spans="1:47" x14ac:dyDescent="0.35">
      <c r="A46" s="310" t="s">
        <v>69</v>
      </c>
      <c r="B46" s="309" t="s">
        <v>388</v>
      </c>
      <c r="C46" s="297" t="s">
        <v>70</v>
      </c>
      <c r="D46" s="308">
        <f t="shared" si="27"/>
        <v>5785.0724800735861</v>
      </c>
      <c r="E46" s="308">
        <f t="shared" si="33"/>
        <v>585.0235849056603</v>
      </c>
      <c r="F46" s="281">
        <f>HLOOKUP($B46,'[2]Interest shifted to EU'!$L$2:$AT$8,F$2,0)/E106</f>
        <v>44.811320754716981</v>
      </c>
      <c r="G46" s="281">
        <f>HLOOKUP($B46,'[2]Interest shifted to EU'!$L$2:$AT$8,G$2,0)/E106</f>
        <v>0</v>
      </c>
      <c r="H46" s="281">
        <f>HLOOKUP($B46,'[2]Interest shifted to EU'!$L$2:$AT$8,H$2,0)/E106</f>
        <v>0</v>
      </c>
      <c r="I46" s="281">
        <f>HLOOKUP($B46,'[2]Interest shifted to EU'!$L$2:$AT$8,I$2,0)/E106</f>
        <v>32.193396226415096</v>
      </c>
      <c r="J46" s="281">
        <f>HLOOKUP($B46,'[2]Interest shifted to EU'!$L$2:$AT$8,J$2,0)/E106</f>
        <v>56.367924528301884</v>
      </c>
      <c r="K46" s="281">
        <f>HLOOKUP($B46,'[2]Interest shifted to EU'!$L$2:$AT$8,K$2,0)/E106</f>
        <v>451.65094339622641</v>
      </c>
      <c r="L46" s="308">
        <f t="shared" si="34"/>
        <v>5200.0488951679254</v>
      </c>
      <c r="M46" s="290">
        <f>AC46*'[2]Non-EU tax havens'!$K$8</f>
        <v>740.81208572345645</v>
      </c>
      <c r="N46" s="295">
        <f>AC46*'[2]Non-EU tax havens'!$K$13</f>
        <v>4459.2368094444691</v>
      </c>
      <c r="O46" s="308">
        <f t="shared" si="28"/>
        <v>73858.233388130742</v>
      </c>
      <c r="P46" s="308">
        <f t="shared" si="35"/>
        <v>7515.566037735849</v>
      </c>
      <c r="Q46" s="281">
        <f>HLOOKUP($B46,'[2]Non EU income shifted to EU'!$B$2:$AI$9,Q$2+1,0)/E106</f>
        <v>633.25471698113211</v>
      </c>
      <c r="R46" s="281">
        <f>HLOOKUP($B46,'[2]Non EU income shifted to EU'!$B$2:$AI$9,R$2+1,0)/E106</f>
        <v>17.688679245283019</v>
      </c>
      <c r="S46" s="281">
        <f>HLOOKUP($B46,'[2]Non EU income shifted to EU'!$B$2:$AI$9,S$2+1,0)/E106</f>
        <v>4502.3584905660382</v>
      </c>
      <c r="T46" s="281">
        <f>HLOOKUP($B46,'[2]Non EU income shifted to EU'!$B$2:$AI$9,T$2+1,0)/E106</f>
        <v>459.55188679245282</v>
      </c>
      <c r="U46" s="281">
        <f>HLOOKUP($B46,'[2]Non EU income shifted to EU'!$B$2:$AI$9,U$2+1,0)/E106</f>
        <v>1.5330188679245285</v>
      </c>
      <c r="V46" s="281">
        <f>HLOOKUP($B46,'[2]Non EU income shifted to EU'!$B$2:$AI$9,V$2+1,0)/E106</f>
        <v>1901.1792452830189</v>
      </c>
      <c r="W46" s="308">
        <f t="shared" si="36"/>
        <v>66342.667350394899</v>
      </c>
      <c r="X46" s="290">
        <f>IFERROR(IFERROR(VLOOKUP(C46,'[2]Swiss pivot'!$E$3:$H$54,3,0),VLOOKUP($C46,'[2]Breakdown non-EU havens'!$F$4:$H$31,3,0)/$E$106),AK46*'[2]Non-EU tax havens'!$I$8)</f>
        <v>2260.6188432506087</v>
      </c>
      <c r="Y46" s="289">
        <f>AE46*'[2]Non-EU tax havens'!$I$13</f>
        <v>64082.048507144296</v>
      </c>
      <c r="Z46" s="266"/>
      <c r="AA46" s="49">
        <f>+'[2]CDIS Table-4'!O43</f>
        <v>7.58036095071591E-2</v>
      </c>
      <c r="AB46" s="52">
        <f t="shared" si="37"/>
        <v>7.58036095071591E-2</v>
      </c>
      <c r="AC46" s="52">
        <f t="shared" si="20"/>
        <v>0.15093355725590979</v>
      </c>
      <c r="AD46" s="52">
        <f t="shared" si="38"/>
        <v>7.58036095071591E-2</v>
      </c>
      <c r="AE46" s="52">
        <f t="shared" si="22"/>
        <v>0.191685439366892</v>
      </c>
      <c r="AF46" s="52"/>
      <c r="AG46" s="49">
        <f t="shared" ref="AG46:AG79" si="42">+AA46</f>
        <v>7.58036095071591E-2</v>
      </c>
      <c r="AH46" s="52">
        <f t="shared" si="39"/>
        <v>7.58036095071591E-2</v>
      </c>
      <c r="AI46" s="52">
        <f t="shared" si="23"/>
        <v>0.15093355725590979</v>
      </c>
      <c r="AJ46" s="52"/>
      <c r="AK46" s="52">
        <f t="shared" si="29"/>
        <v>0</v>
      </c>
      <c r="AL46" s="52"/>
      <c r="AM46" s="49">
        <f>+'[2]CDIS Table-4'!U43</f>
        <v>0</v>
      </c>
      <c r="AN46" s="52">
        <f t="shared" si="40"/>
        <v>0</v>
      </c>
      <c r="AO46" s="52">
        <f t="shared" si="24"/>
        <v>0</v>
      </c>
      <c r="AP46" s="52">
        <f t="shared" si="41"/>
        <v>0</v>
      </c>
      <c r="AQ46" s="52">
        <f t="shared" si="26"/>
        <v>0</v>
      </c>
      <c r="AR46" s="52">
        <f>+AF46</f>
        <v>0</v>
      </c>
      <c r="AS46" s="52">
        <f t="shared" si="30"/>
        <v>0</v>
      </c>
      <c r="AT46" s="52">
        <f>+AS46</f>
        <v>0</v>
      </c>
      <c r="AU46" s="52">
        <f t="shared" si="19"/>
        <v>0</v>
      </c>
    </row>
    <row r="47" spans="1:47" x14ac:dyDescent="0.35">
      <c r="C47" s="297" t="s">
        <v>71</v>
      </c>
      <c r="D47" s="308">
        <f t="shared" si="27"/>
        <v>171.86636020592556</v>
      </c>
      <c r="E47" s="308">
        <f t="shared" si="33"/>
        <v>89.719247754837312</v>
      </c>
      <c r="F47" s="281">
        <f>AS47*'[2]Interest shifted to EU'!$AU$3</f>
        <v>14.897177203320762</v>
      </c>
      <c r="G47" s="281">
        <f>AS47*'[2]Interest shifted to EU'!$AU$4</f>
        <v>9.8030476534624462</v>
      </c>
      <c r="H47" s="281">
        <f>AS47*'[2]Interest shifted to EU'!$AU$5</f>
        <v>-18.339566763937661</v>
      </c>
      <c r="I47" s="281">
        <f>AS47*'[2]Interest shifted to EU'!$AU$6</f>
        <v>19.756677963187883</v>
      </c>
      <c r="J47" s="281">
        <f>AS47*'[2]Interest shifted to EU'!$AU$7</f>
        <v>53.470850662318917</v>
      </c>
      <c r="K47" s="281">
        <f>AS47*'[2]Interest shifted to EU'!$AU$8</f>
        <v>10.131061036484962</v>
      </c>
      <c r="L47" s="308">
        <f t="shared" si="34"/>
        <v>82.147112451088262</v>
      </c>
      <c r="M47" s="290">
        <f>AC47*'[2]Non-EU tax havens'!$K$8</f>
        <v>11.702884903178356</v>
      </c>
      <c r="N47" s="295">
        <f>AC47*'[2]Non-EU tax havens'!$K$13</f>
        <v>70.444227547909904</v>
      </c>
      <c r="O47" s="308">
        <f t="shared" si="28"/>
        <v>1793.310650013017</v>
      </c>
      <c r="P47" s="308">
        <f t="shared" si="35"/>
        <v>551.61928911374685</v>
      </c>
      <c r="Q47" s="281">
        <f>AU47*'[2]Non EU income shifted to EU'!$AJ$4</f>
        <v>31.321192502703507</v>
      </c>
      <c r="R47" s="281">
        <f>AU47*'[2]Non EU income shifted to EU'!$AJ$5</f>
        <v>16.014290397457888</v>
      </c>
      <c r="S47" s="281">
        <f>AU47*'[2]Non EU income shifted to EU'!$AJ$6</f>
        <v>365.30768755696795</v>
      </c>
      <c r="T47" s="281">
        <f>AU47*'[2]Non EU income shifted to EU'!$AJ$7</f>
        <v>23.61462896279415</v>
      </c>
      <c r="U47" s="281">
        <f>AU47*'[2]Non EU income shifted to EU'!$AJ$8</f>
        <v>-3.8451106180644512</v>
      </c>
      <c r="V47" s="281">
        <f>AU47*'[2]Non EU income shifted to EU'!$AJ$9</f>
        <v>119.20660031188775</v>
      </c>
      <c r="W47" s="308">
        <f t="shared" si="36"/>
        <v>1241.6913608992702</v>
      </c>
      <c r="X47" s="290">
        <f>IFERROR(IFERROR(VLOOKUP(C47,'[2]Swiss pivot'!$E$3:$H$54,3,0),VLOOKUP($C47,'[2]Breakdown non-EU havens'!$F$4:$H$31,3,0)/$E$106),AK47*'[2]Non-EU tax havens'!$I$8)</f>
        <v>229.36333265628198</v>
      </c>
      <c r="Y47" s="289">
        <f>AE47*'[2]Non-EU tax havens'!$I$13</f>
        <v>1012.3280282429881</v>
      </c>
      <c r="Z47" s="266"/>
      <c r="AA47" s="49">
        <v>1.1974979004850091E-3</v>
      </c>
      <c r="AB47" s="52">
        <f t="shared" si="37"/>
        <v>1.1974979004850091E-3</v>
      </c>
      <c r="AC47" s="52">
        <f t="shared" si="20"/>
        <v>2.3843537148401364E-3</v>
      </c>
      <c r="AD47" s="52">
        <f t="shared" si="38"/>
        <v>1.1974979004850091E-3</v>
      </c>
      <c r="AE47" s="52">
        <f t="shared" si="22"/>
        <v>3.0281264004152863E-3</v>
      </c>
      <c r="AF47" s="52"/>
      <c r="AG47" s="49">
        <f t="shared" si="42"/>
        <v>1.1974979004850091E-3</v>
      </c>
      <c r="AH47" s="52">
        <f t="shared" si="39"/>
        <v>1.1974979004850091E-3</v>
      </c>
      <c r="AI47" s="52">
        <f t="shared" si="23"/>
        <v>2.3843537148401364E-3</v>
      </c>
      <c r="AJ47" s="52">
        <f t="shared" ref="AJ47:AJ88" si="43">+AH47</f>
        <v>1.1974979004850091E-3</v>
      </c>
      <c r="AK47" s="52">
        <f t="shared" si="29"/>
        <v>7.8923728702489145E-3</v>
      </c>
      <c r="AL47" s="52"/>
      <c r="AM47" s="49" t="e">
        <f>+[3]TableB2!R48/[3]TableB2!$L$91</f>
        <v>#REF!</v>
      </c>
      <c r="AN47" s="52" t="e">
        <f t="shared" si="40"/>
        <v>#REF!</v>
      </c>
      <c r="AO47" s="52" t="e">
        <f t="shared" si="24"/>
        <v>#REF!</v>
      </c>
      <c r="AP47" s="52" t="e">
        <f t="shared" si="41"/>
        <v>#REF!</v>
      </c>
      <c r="AQ47" s="52" t="e">
        <f t="shared" si="26"/>
        <v>#REF!</v>
      </c>
      <c r="AR47" s="52">
        <f>+AB47</f>
        <v>1.1974979004850091E-3</v>
      </c>
      <c r="AS47" s="52">
        <f t="shared" si="30"/>
        <v>1.1673074128914558E-2</v>
      </c>
      <c r="AT47" s="52">
        <f>+AD47</f>
        <v>1.1974979004850091E-3</v>
      </c>
      <c r="AU47" s="52">
        <f>+AT47/$AT$102</f>
        <v>1.1673074128914558E-2</v>
      </c>
    </row>
    <row r="48" spans="1:47" x14ac:dyDescent="0.35">
      <c r="C48" s="297" t="s">
        <v>72</v>
      </c>
      <c r="D48" s="308">
        <f t="shared" si="27"/>
        <v>148.68615498281378</v>
      </c>
      <c r="E48" s="308">
        <f t="shared" si="33"/>
        <v>77.618505219017678</v>
      </c>
      <c r="F48" s="290">
        <f>AS48*'[2]Interest shifted to EU'!$AU$3</f>
        <v>12.887943840815817</v>
      </c>
      <c r="G48" s="290">
        <f>AS48*'[2]Interest shifted to EU'!$AU$4</f>
        <v>8.4808770079275355</v>
      </c>
      <c r="H48" s="290">
        <f>AS48*'[2]Interest shifted to EU'!$AU$5</f>
        <v>-15.866046519593892</v>
      </c>
      <c r="I48" s="290">
        <f>AS48*'[2]Interest shifted to EU'!$AU$6</f>
        <v>17.092027073014226</v>
      </c>
      <c r="J48" s="290">
        <f>AS48*'[2]Interest shifted to EU'!$AU$7</f>
        <v>46.259053715424699</v>
      </c>
      <c r="K48" s="290">
        <f>AS48*'[2]Interest shifted to EU'!$AU$8</f>
        <v>8.764650101429293</v>
      </c>
      <c r="L48" s="308">
        <f t="shared" si="34"/>
        <v>71.067649763796084</v>
      </c>
      <c r="M48" s="290">
        <f>AC48*'[2]Non-EU tax havens'!$K$8</f>
        <v>10.124476694421874</v>
      </c>
      <c r="N48" s="295">
        <f>AC48*'[2]Non-EU tax havens'!$K$13</f>
        <v>60.943173069374211</v>
      </c>
      <c r="O48" s="308">
        <f t="shared" si="28"/>
        <v>1551.4406945063865</v>
      </c>
      <c r="P48" s="308">
        <f t="shared" si="35"/>
        <v>477.22050443381829</v>
      </c>
      <c r="Q48" s="281">
        <f>AU48*'[2]Non EU income shifted to EU'!$AJ$4</f>
        <v>27.096795889105906</v>
      </c>
      <c r="R48" s="281">
        <f>AU48*'[2]Non EU income shifted to EU'!$AJ$5</f>
        <v>13.854388148577984</v>
      </c>
      <c r="S48" s="281">
        <f>AU48*'[2]Non EU income shifted to EU'!$AJ$6</f>
        <v>316.03738732482884</v>
      </c>
      <c r="T48" s="281">
        <f>AU48*'[2]Non EU income shifted to EU'!$AJ$7</f>
        <v>20.429642994805196</v>
      </c>
      <c r="U48" s="281">
        <f>AU48*'[2]Non EU income shifted to EU'!$AJ$8</f>
        <v>-3.326507366529325</v>
      </c>
      <c r="V48" s="281">
        <f>AU48*'[2]Non EU income shifted to EU'!$AJ$9</f>
        <v>103.1287974430297</v>
      </c>
      <c r="W48" s="308">
        <f t="shared" si="36"/>
        <v>1074.2201900725681</v>
      </c>
      <c r="X48" s="290">
        <f>IFERROR(IFERROR(VLOOKUP(C48,'[2]Swiss pivot'!$E$3:$H$54,3,0),VLOOKUP($C48,'[2]Breakdown non-EU havens'!$F$4:$H$31,3,0)/$E$106),AK48*'[2]Non-EU tax havens'!$I$8)</f>
        <v>198.42831363767257</v>
      </c>
      <c r="Y48" s="289">
        <f>AE48*'[2]Non-EU tax havens'!$I$13</f>
        <v>875.79187643489547</v>
      </c>
      <c r="Z48" s="266"/>
      <c r="AA48" s="49">
        <f>+'[2]CDIS Table-4'!O45</f>
        <v>1.0359872531760833E-3</v>
      </c>
      <c r="AB48" s="52">
        <f t="shared" si="37"/>
        <v>1.0359872531760833E-3</v>
      </c>
      <c r="AC48" s="52">
        <f t="shared" si="20"/>
        <v>2.0627677548636721E-3</v>
      </c>
      <c r="AD48" s="52">
        <f t="shared" si="38"/>
        <v>1.0359872531760833E-3</v>
      </c>
      <c r="AE48" s="52">
        <f t="shared" si="22"/>
        <v>2.6197126112418477E-3</v>
      </c>
      <c r="AF48" s="52"/>
      <c r="AG48" s="49">
        <f t="shared" si="42"/>
        <v>1.0359872531760833E-3</v>
      </c>
      <c r="AH48" s="52">
        <f t="shared" si="39"/>
        <v>1.0359872531760833E-3</v>
      </c>
      <c r="AI48" s="52">
        <f t="shared" si="23"/>
        <v>2.0627677548636721E-3</v>
      </c>
      <c r="AJ48" s="52">
        <f t="shared" si="43"/>
        <v>1.0359872531760833E-3</v>
      </c>
      <c r="AK48" s="52">
        <f t="shared" si="29"/>
        <v>6.8279014832335148E-3</v>
      </c>
      <c r="AL48" s="52"/>
      <c r="AM48" s="49">
        <f>+'[2]CDIS Table-4'!U45</f>
        <v>0</v>
      </c>
      <c r="AN48" s="52">
        <f t="shared" si="40"/>
        <v>0</v>
      </c>
      <c r="AO48" s="52">
        <f t="shared" si="24"/>
        <v>0</v>
      </c>
      <c r="AP48" s="52">
        <f t="shared" si="41"/>
        <v>0</v>
      </c>
      <c r="AQ48" s="52">
        <f t="shared" si="26"/>
        <v>0</v>
      </c>
      <c r="AR48" s="52">
        <f>+AB48</f>
        <v>1.0359872531760833E-3</v>
      </c>
      <c r="AS48" s="52">
        <f t="shared" si="30"/>
        <v>1.0098686601485515E-2</v>
      </c>
      <c r="AT48" s="52">
        <f>+AD48</f>
        <v>1.0359872531760833E-3</v>
      </c>
      <c r="AU48" s="52">
        <f>+AT48/$AT$102</f>
        <v>1.0098686601485515E-2</v>
      </c>
    </row>
    <row r="49" spans="2:47" x14ac:dyDescent="0.35">
      <c r="C49" s="297" t="s">
        <v>73</v>
      </c>
      <c r="D49" s="308">
        <f t="shared" si="27"/>
        <v>1026.7568299491297</v>
      </c>
      <c r="E49" s="308">
        <f t="shared" si="33"/>
        <v>139.38679245283021</v>
      </c>
      <c r="F49" s="281">
        <f>HLOOKUP($C49,'[2]Interest shifted to EU'!$L$2:$AT$8,F$2,0)/E106</f>
        <v>8.8443396226415096</v>
      </c>
      <c r="G49" s="281">
        <f>HLOOKUP($C49,'[2]Interest shifted to EU'!$L$2:$AT$8,G$2,0)/E106</f>
        <v>0</v>
      </c>
      <c r="H49" s="281">
        <f>HLOOKUP($C49,'[2]Interest shifted to EU'!$L$2:$AT$8,H$2,0)/E106</f>
        <v>0</v>
      </c>
      <c r="I49" s="281">
        <f>HLOOKUP($C49,'[2]Interest shifted to EU'!$L$2:$AT$8,I$2,0)/E106</f>
        <v>20.990566037735849</v>
      </c>
      <c r="J49" s="281">
        <f>HLOOKUP($C49,'[2]Interest shifted to EU'!$L$2:$AT$8,J$2,0)/E106</f>
        <v>8.1367924528301891</v>
      </c>
      <c r="K49" s="281">
        <f>HLOOKUP($C49,'[2]Interest shifted to EU'!$L$2:$AT$8,K$2,0)/E106</f>
        <v>101.41509433962264</v>
      </c>
      <c r="L49" s="308">
        <f t="shared" si="34"/>
        <v>887.37003749629946</v>
      </c>
      <c r="M49" s="290">
        <f>AC49*'[2]Non-EU tax havens'!$K$8</f>
        <v>126.41697444364256</v>
      </c>
      <c r="N49" s="295">
        <f>AC49*'[2]Non-EU tax havens'!$K$13</f>
        <v>760.95306305265694</v>
      </c>
      <c r="O49" s="308">
        <f t="shared" si="28"/>
        <v>15863.700645696341</v>
      </c>
      <c r="P49" s="308">
        <f t="shared" si="35"/>
        <v>4512.617924528302</v>
      </c>
      <c r="Q49" s="281">
        <f>HLOOKUP($C49,'[2]Non EU income shifted to EU'!$B$2:$AI$9,Q$2+1,0)/E106</f>
        <v>187.5</v>
      </c>
      <c r="R49" s="281">
        <f>HLOOKUP($C49,'[2]Non EU income shifted to EU'!$B$2:$AI$9,R$2+1,0)/E106</f>
        <v>12.971698113207548</v>
      </c>
      <c r="S49" s="281">
        <f>HLOOKUP($C49,'[2]Non EU income shifted to EU'!$B$2:$AI$9,S$2+1,0)/E106</f>
        <v>3176.8867924528304</v>
      </c>
      <c r="T49" s="281">
        <f>HLOOKUP($C49,'[2]Non EU income shifted to EU'!$B$2:$AI$9,T$2+1,0)/E106</f>
        <v>244.10377358490567</v>
      </c>
      <c r="U49" s="281">
        <f>HLOOKUP($C49,'[2]Non EU income shifted to EU'!$B$2:$AI$9,U$2+1,0)/E106</f>
        <v>3.3018867924528301</v>
      </c>
      <c r="V49" s="281">
        <f>HLOOKUP($C49,'[2]Non EU income shifted to EU'!$B$2:$AI$9,V$2+1,0)/E106</f>
        <v>887.85377358490564</v>
      </c>
      <c r="W49" s="308">
        <f t="shared" si="36"/>
        <v>11351.082721168039</v>
      </c>
      <c r="X49" s="290">
        <f>IFERROR(IFERROR(VLOOKUP(C49,'[2]Swiss pivot'!$E$3:$H$54,3,0),VLOOKUP($C49,'[2]Breakdown non-EU havens'!$F$4:$H$31,3,0)/$E$106),AK49*'[2]Non-EU tax havens'!$I$8)</f>
        <v>415.7067404796897</v>
      </c>
      <c r="Y49" s="289">
        <f>AE49*'[2]Non-EU tax havens'!$I$13</f>
        <v>10935.37598068835</v>
      </c>
      <c r="Z49" s="266"/>
      <c r="AA49" s="49">
        <f>+'[2]CDIS Table-4'!O46</f>
        <v>1.2935619100279711E-2</v>
      </c>
      <c r="AB49" s="52">
        <f t="shared" si="37"/>
        <v>1.2935619100279711E-2</v>
      </c>
      <c r="AC49" s="52">
        <f t="shared" si="20"/>
        <v>2.5756280193073338E-2</v>
      </c>
      <c r="AD49" s="52">
        <f t="shared" si="38"/>
        <v>1.2935619100279711E-2</v>
      </c>
      <c r="AE49" s="52">
        <f t="shared" si="22"/>
        <v>3.2710445410725451E-2</v>
      </c>
      <c r="AF49" s="52"/>
      <c r="AG49" s="49">
        <f t="shared" si="42"/>
        <v>1.2935619100279711E-2</v>
      </c>
      <c r="AH49" s="52">
        <f t="shared" si="39"/>
        <v>1.2935619100279711E-2</v>
      </c>
      <c r="AI49" s="52">
        <f t="shared" si="23"/>
        <v>2.5756280193073338E-2</v>
      </c>
      <c r="AJ49" s="52"/>
      <c r="AK49" s="52">
        <f t="shared" si="29"/>
        <v>0</v>
      </c>
      <c r="AL49" s="52"/>
      <c r="AM49" s="49">
        <f>+'[2]CDIS Table-4'!U46</f>
        <v>0</v>
      </c>
      <c r="AN49" s="52">
        <f t="shared" si="40"/>
        <v>0</v>
      </c>
      <c r="AO49" s="52">
        <f t="shared" si="24"/>
        <v>0</v>
      </c>
      <c r="AP49" s="52">
        <f t="shared" si="41"/>
        <v>0</v>
      </c>
      <c r="AQ49" s="52">
        <f t="shared" si="26"/>
        <v>0</v>
      </c>
      <c r="AR49" s="52">
        <f t="shared" ref="AR49:AR88" si="44">+AF49</f>
        <v>0</v>
      </c>
      <c r="AS49" s="52">
        <f t="shared" si="30"/>
        <v>0</v>
      </c>
      <c r="AT49" s="52">
        <f>+AS49</f>
        <v>0</v>
      </c>
      <c r="AU49" s="52">
        <f t="shared" ref="AU49:AU88" si="45">+AT49/$AB$102</f>
        <v>0</v>
      </c>
    </row>
    <row r="50" spans="2:47" x14ac:dyDescent="0.35">
      <c r="B50" s="253" t="s">
        <v>75</v>
      </c>
      <c r="C50" s="297" t="s">
        <v>74</v>
      </c>
      <c r="D50" s="308">
        <f t="shared" si="27"/>
        <v>2635.4160510233069</v>
      </c>
      <c r="E50" s="308">
        <f t="shared" si="33"/>
        <v>1782.1933962264152</v>
      </c>
      <c r="F50" s="281">
        <f>HLOOKUP($C50,'[2]Interest shifted to EU'!$L$2:$AT$8,F$2,0)/E106</f>
        <v>408.49056603773585</v>
      </c>
      <c r="G50" s="281">
        <f>HLOOKUP($C50,'[2]Interest shifted to EU'!$L$2:$AT$8,G$2,0)/E106</f>
        <v>161.5566037735849</v>
      </c>
      <c r="H50" s="281">
        <f>HLOOKUP($C50,'[2]Interest shifted to EU'!$L$2:$AT$8,H$2,0)/E106</f>
        <v>-14.150943396226415</v>
      </c>
      <c r="I50" s="281">
        <f>HLOOKUP($C50,'[2]Interest shifted to EU'!$L$2:$AT$8,I$2,0)/E106</f>
        <v>41.037735849056602</v>
      </c>
      <c r="J50" s="281">
        <f>HLOOKUP($C50,'[2]Interest shifted to EU'!$L$2:$AT$8,J$2,0)/E106</f>
        <v>829.24528301886801</v>
      </c>
      <c r="K50" s="281">
        <f>HLOOKUP($C50,'[2]Interest shifted to EU'!$L$2:$AT$8,K$2,0)/E106</f>
        <v>356.0141509433962</v>
      </c>
      <c r="L50" s="308">
        <f t="shared" si="34"/>
        <v>853.22265479689156</v>
      </c>
      <c r="M50" s="290">
        <f>AC50*'[2]Non-EU tax havens'!$K$8</f>
        <v>121.55225214784795</v>
      </c>
      <c r="N50" s="295">
        <f>AC50*'[2]Non-EU tax havens'!$K$13</f>
        <v>731.67040264904358</v>
      </c>
      <c r="O50" s="308">
        <f t="shared" si="28"/>
        <v>16221.763288757051</v>
      </c>
      <c r="P50" s="308">
        <f t="shared" si="35"/>
        <v>4799.1745283018863</v>
      </c>
      <c r="Q50" s="281">
        <f>HLOOKUP($C50,'[2]Non EU income shifted to EU'!$B$2:$AI$9,Q$2+1,0)/E106</f>
        <v>174.52830188679246</v>
      </c>
      <c r="R50" s="281">
        <f>HLOOKUP($C50,'[2]Non EU income shifted to EU'!$B$2:$AI$9,R$2+1,0)/E106</f>
        <v>614.38679245283015</v>
      </c>
      <c r="S50" s="281">
        <f>HLOOKUP($C50,'[2]Non EU income shifted to EU'!$B$2:$AI$9,S$2+1,0)/E106</f>
        <v>1532.0754716981132</v>
      </c>
      <c r="T50" s="281">
        <f>HLOOKUP($C50,'[2]Non EU income shifted to EU'!$B$2:$AI$9,T$2+1,0)/E106</f>
        <v>193.51415094339623</v>
      </c>
      <c r="U50" s="281">
        <f>HLOOKUP($C50,'[2]Non EU income shifted to EU'!$B$2:$AI$9,U$2+1,0)/E106</f>
        <v>6.25</v>
      </c>
      <c r="V50" s="281">
        <f>HLOOKUP($C50,'[2]Non EU income shifted to EU'!$B$2:$AI$9,V$2+1,0)/E106</f>
        <v>2278.4198113207549</v>
      </c>
      <c r="W50" s="308">
        <f t="shared" si="36"/>
        <v>11422.588760455164</v>
      </c>
      <c r="X50" s="290">
        <f>IFERROR(IFERROR(VLOOKUP(C50,'[2]Swiss pivot'!$E$3:$H$54,3,0),VLOOKUP($C50,'[2]Breakdown non-EU havens'!$F$4:$H$31,3,0)/$E$106),AK50*'[2]Non-EU tax havens'!$I$8)</f>
        <v>908.02309879455902</v>
      </c>
      <c r="Y50" s="289">
        <f>AE50*'[2]Non-EU tax havens'!$I$13</f>
        <v>10514.565661660605</v>
      </c>
      <c r="Z50" s="266"/>
      <c r="AA50" s="49">
        <f>+'[2]CDIS Table-4'!O47</f>
        <v>1.2437836307075061E-2</v>
      </c>
      <c r="AB50" s="52">
        <f t="shared" si="37"/>
        <v>1.2437836307075061E-2</v>
      </c>
      <c r="AC50" s="52">
        <f t="shared" si="20"/>
        <v>2.4765138370043592E-2</v>
      </c>
      <c r="AD50" s="52">
        <f t="shared" si="38"/>
        <v>1.2437836307075061E-2</v>
      </c>
      <c r="AE50" s="52">
        <f t="shared" si="22"/>
        <v>3.1451696466643829E-2</v>
      </c>
      <c r="AF50" s="52"/>
      <c r="AG50" s="49">
        <f t="shared" si="42"/>
        <v>1.2437836307075061E-2</v>
      </c>
      <c r="AH50" s="52">
        <f t="shared" si="39"/>
        <v>1.2437836307075061E-2</v>
      </c>
      <c r="AI50" s="52">
        <f t="shared" si="23"/>
        <v>2.4765138370043592E-2</v>
      </c>
      <c r="AJ50" s="52"/>
      <c r="AK50" s="52">
        <f t="shared" si="29"/>
        <v>0</v>
      </c>
      <c r="AL50" s="52"/>
      <c r="AM50" s="49">
        <f>+'[2]CDIS Table-4'!U47</f>
        <v>0</v>
      </c>
      <c r="AN50" s="52">
        <f t="shared" si="40"/>
        <v>0</v>
      </c>
      <c r="AO50" s="52">
        <f t="shared" si="24"/>
        <v>0</v>
      </c>
      <c r="AP50" s="52">
        <f t="shared" si="41"/>
        <v>0</v>
      </c>
      <c r="AQ50" s="52">
        <f t="shared" si="26"/>
        <v>0</v>
      </c>
      <c r="AR50" s="52">
        <f t="shared" si="44"/>
        <v>0</v>
      </c>
      <c r="AS50" s="52">
        <f t="shared" si="30"/>
        <v>0</v>
      </c>
      <c r="AT50" s="52">
        <f>+AS50</f>
        <v>0</v>
      </c>
      <c r="AU50" s="52">
        <f t="shared" si="45"/>
        <v>0</v>
      </c>
    </row>
    <row r="51" spans="2:47" x14ac:dyDescent="0.35">
      <c r="C51" s="297" t="s">
        <v>76</v>
      </c>
      <c r="D51" s="308">
        <f t="shared" si="27"/>
        <v>544.04650820340964</v>
      </c>
      <c r="E51" s="308">
        <f t="shared" si="33"/>
        <v>241.62735849056605</v>
      </c>
      <c r="F51" s="281">
        <f>HLOOKUP($C51,'[2]Interest shifted to EU'!$L$2:$AT$8,F$2,0)/E106</f>
        <v>18.04245283018868</v>
      </c>
      <c r="G51" s="281">
        <f>HLOOKUP($C51,'[2]Interest shifted to EU'!$L$2:$AT$8,G$2,0)/E106</f>
        <v>0</v>
      </c>
      <c r="H51" s="281">
        <f>HLOOKUP($C51,'[2]Interest shifted to EU'!$L$2:$AT$8,H$2,0)/E106</f>
        <v>0</v>
      </c>
      <c r="I51" s="281">
        <f>HLOOKUP($C51,'[2]Interest shifted to EU'!$L$2:$AT$8,I$2,0)/E106</f>
        <v>72.051886792452834</v>
      </c>
      <c r="J51" s="281">
        <f>HLOOKUP($C51,'[2]Interest shifted to EU'!$L$2:$AT$8,J$2,0)/E106</f>
        <v>1.7688679245283019</v>
      </c>
      <c r="K51" s="281">
        <f>HLOOKUP($C51,'[2]Interest shifted to EU'!$L$2:$AT$8,K$2,0)/E106</f>
        <v>149.76415094339623</v>
      </c>
      <c r="L51" s="308">
        <f t="shared" si="34"/>
        <v>302.41914971284359</v>
      </c>
      <c r="M51" s="290">
        <f>AC51*'[2]Non-EU tax havens'!$K$8</f>
        <v>43.083395094547683</v>
      </c>
      <c r="N51" s="295">
        <f>AC51*'[2]Non-EU tax havens'!$K$13</f>
        <v>259.33575461829594</v>
      </c>
      <c r="O51" s="308">
        <f t="shared" si="28"/>
        <v>6384.529916559477</v>
      </c>
      <c r="P51" s="308">
        <f t="shared" si="35"/>
        <v>1813.3254716981132</v>
      </c>
      <c r="Q51" s="281">
        <f>HLOOKUP($C51,'[2]Non EU income shifted to EU'!$B$2:$AI$9,Q$2+1,0)/E106</f>
        <v>146.22641509433961</v>
      </c>
      <c r="R51" s="281">
        <f>HLOOKUP($C51,'[2]Non EU income shifted to EU'!$B$2:$AI$9,R$2+1,0)/E106</f>
        <v>8.2547169811320753</v>
      </c>
      <c r="S51" s="281">
        <f>HLOOKUP($C51,'[2]Non EU income shifted to EU'!$B$2:$AI$9,S$2+1,0)/E106</f>
        <v>898.82075471698124</v>
      </c>
      <c r="T51" s="281">
        <f>HLOOKUP($C51,'[2]Non EU income shifted to EU'!$B$2:$AI$9,T$2+1,0)/E106</f>
        <v>266.50943396226415</v>
      </c>
      <c r="U51" s="281">
        <f>HLOOKUP($C51,'[2]Non EU income shifted to EU'!$B$2:$AI$9,U$2+1,0)/E106</f>
        <v>6.9575471698113214</v>
      </c>
      <c r="V51" s="281">
        <f>HLOOKUP($C51,'[2]Non EU income shifted to EU'!$B$2:$AI$9,V$2+1,0)/E106</f>
        <v>486.55660377358492</v>
      </c>
      <c r="W51" s="308">
        <f t="shared" si="36"/>
        <v>4571.2044448613633</v>
      </c>
      <c r="X51" s="290">
        <f>IFERROR(IFERROR(VLOOKUP(C51,'[2]Swiss pivot'!$E$3:$H$54,3,0),VLOOKUP($C51,'[2]Breakdown non-EU havens'!$F$4:$H$31,3,0)/$E$106),AK51*'[2]Non-EU tax havens'!$I$8)</f>
        <v>844.38590679029994</v>
      </c>
      <c r="Y51" s="289">
        <f>AE51*'[2]Non-EU tax havens'!$I$13</f>
        <v>3726.8185380710638</v>
      </c>
      <c r="Z51" s="266"/>
      <c r="AA51" s="49">
        <f>+'[2]CDIS Table-4'!O48</f>
        <v>4.4085091495239077E-3</v>
      </c>
      <c r="AB51" s="52">
        <f t="shared" si="37"/>
        <v>4.4085091495239077E-3</v>
      </c>
      <c r="AC51" s="52">
        <f t="shared" si="20"/>
        <v>8.7778401643265735E-3</v>
      </c>
      <c r="AD51" s="52">
        <f t="shared" si="38"/>
        <v>4.4085091495239077E-3</v>
      </c>
      <c r="AE51" s="52">
        <f t="shared" si="22"/>
        <v>1.1147846636506736E-2</v>
      </c>
      <c r="AF51" s="52"/>
      <c r="AG51" s="49">
        <f t="shared" si="42"/>
        <v>4.4085091495239077E-3</v>
      </c>
      <c r="AH51" s="52">
        <f t="shared" si="39"/>
        <v>4.4085091495239077E-3</v>
      </c>
      <c r="AI51" s="52">
        <f t="shared" si="23"/>
        <v>8.7778401643265735E-3</v>
      </c>
      <c r="AJ51" s="52">
        <f t="shared" si="43"/>
        <v>4.4085091495239077E-3</v>
      </c>
      <c r="AK51" s="52">
        <f t="shared" si="29"/>
        <v>2.9055247609081021E-2</v>
      </c>
      <c r="AL51" s="52"/>
      <c r="AM51" s="49">
        <f>+'[2]CDIS Table-4'!U48</f>
        <v>0</v>
      </c>
      <c r="AN51" s="52">
        <f t="shared" si="40"/>
        <v>0</v>
      </c>
      <c r="AO51" s="52">
        <f t="shared" si="24"/>
        <v>0</v>
      </c>
      <c r="AP51" s="52">
        <f t="shared" si="41"/>
        <v>0</v>
      </c>
      <c r="AQ51" s="52">
        <f t="shared" si="26"/>
        <v>0</v>
      </c>
      <c r="AR51" s="52">
        <f t="shared" si="44"/>
        <v>0</v>
      </c>
      <c r="AS51" s="52">
        <f t="shared" si="30"/>
        <v>0</v>
      </c>
      <c r="AT51" s="52">
        <f>+AS51</f>
        <v>0</v>
      </c>
      <c r="AU51" s="52">
        <f t="shared" si="45"/>
        <v>0</v>
      </c>
    </row>
    <row r="52" spans="2:47" ht="40" hidden="1" customHeight="1" x14ac:dyDescent="0.35">
      <c r="C52" s="307" t="s">
        <v>77</v>
      </c>
      <c r="D52" s="305"/>
      <c r="E52" s="293"/>
      <c r="F52" s="269"/>
      <c r="G52" s="269"/>
      <c r="H52" s="269"/>
      <c r="I52" s="303"/>
      <c r="J52" s="303"/>
      <c r="K52" s="303"/>
      <c r="L52" s="304"/>
      <c r="M52" s="303"/>
      <c r="N52" s="306"/>
      <c r="O52" s="305"/>
      <c r="P52" s="293"/>
      <c r="Q52" s="269"/>
      <c r="R52" s="269"/>
      <c r="S52" s="269"/>
      <c r="T52" s="303"/>
      <c r="U52" s="303"/>
      <c r="V52" s="303"/>
      <c r="W52" s="304"/>
      <c r="X52" s="303"/>
      <c r="Y52" s="302"/>
      <c r="Z52" s="266"/>
      <c r="AA52" s="49">
        <f>+'[2]CDIS Table-4'!O49</f>
        <v>0</v>
      </c>
      <c r="AB52" s="52">
        <f t="shared" ref="AB52:AB88" si="46">+AA52</f>
        <v>0</v>
      </c>
      <c r="AC52" s="52">
        <f t="shared" si="20"/>
        <v>0</v>
      </c>
      <c r="AD52" s="52">
        <f t="shared" ref="AD52:AD88" si="47">+AB52</f>
        <v>0</v>
      </c>
      <c r="AE52" s="52">
        <f t="shared" si="22"/>
        <v>0</v>
      </c>
      <c r="AF52" s="52"/>
      <c r="AG52" s="49">
        <f t="shared" si="42"/>
        <v>0</v>
      </c>
      <c r="AH52" s="52">
        <f t="shared" si="39"/>
        <v>0</v>
      </c>
      <c r="AI52" s="52">
        <f t="shared" si="23"/>
        <v>0</v>
      </c>
      <c r="AJ52" s="52">
        <f t="shared" si="43"/>
        <v>0</v>
      </c>
      <c r="AK52" s="52">
        <f t="shared" si="29"/>
        <v>0</v>
      </c>
      <c r="AL52" s="52"/>
      <c r="AM52" s="49">
        <f>+'[2]CDIS Table-4'!U49</f>
        <v>0</v>
      </c>
      <c r="AN52" s="52">
        <f t="shared" si="40"/>
        <v>0</v>
      </c>
      <c r="AO52" s="52">
        <f t="shared" si="24"/>
        <v>0</v>
      </c>
      <c r="AP52" s="52">
        <f t="shared" si="41"/>
        <v>0</v>
      </c>
      <c r="AQ52" s="52">
        <f t="shared" si="26"/>
        <v>0</v>
      </c>
      <c r="AR52" s="52">
        <f t="shared" si="44"/>
        <v>0</v>
      </c>
      <c r="AS52" s="52">
        <f t="shared" si="30"/>
        <v>0</v>
      </c>
      <c r="AT52" s="52">
        <f t="shared" ref="AT52:AT88" si="48">+AS52</f>
        <v>0</v>
      </c>
      <c r="AU52" s="52">
        <f t="shared" si="45"/>
        <v>0</v>
      </c>
    </row>
    <row r="53" spans="2:47" ht="14" hidden="1" customHeight="1" x14ac:dyDescent="0.35">
      <c r="C53" s="297" t="s">
        <v>78</v>
      </c>
      <c r="D53" s="294"/>
      <c r="E53" s="293"/>
      <c r="F53" s="292"/>
      <c r="G53" s="292"/>
      <c r="H53" s="292"/>
      <c r="I53" s="290"/>
      <c r="J53" s="290"/>
      <c r="K53" s="290"/>
      <c r="L53" s="296"/>
      <c r="M53" s="290"/>
      <c r="N53" s="295"/>
      <c r="O53" s="294"/>
      <c r="P53" s="293"/>
      <c r="Q53" s="292"/>
      <c r="R53" s="292"/>
      <c r="S53" s="292"/>
      <c r="T53" s="290"/>
      <c r="U53" s="290"/>
      <c r="V53" s="290"/>
      <c r="W53" s="291"/>
      <c r="X53" s="290"/>
      <c r="Y53" s="289"/>
      <c r="Z53" s="266"/>
      <c r="AA53" s="49">
        <f>+'[2]CDIS Table-4'!O50</f>
        <v>0</v>
      </c>
      <c r="AB53" s="52">
        <f t="shared" si="46"/>
        <v>0</v>
      </c>
      <c r="AC53" s="52">
        <f t="shared" si="20"/>
        <v>0</v>
      </c>
      <c r="AD53" s="52">
        <f t="shared" si="47"/>
        <v>0</v>
      </c>
      <c r="AE53" s="52">
        <f t="shared" si="22"/>
        <v>0</v>
      </c>
      <c r="AF53" s="52"/>
      <c r="AG53" s="49">
        <f t="shared" si="42"/>
        <v>0</v>
      </c>
      <c r="AH53" s="52">
        <f t="shared" si="39"/>
        <v>0</v>
      </c>
      <c r="AI53" s="52">
        <f t="shared" si="23"/>
        <v>0</v>
      </c>
      <c r="AJ53" s="52">
        <f t="shared" si="43"/>
        <v>0</v>
      </c>
      <c r="AK53" s="52">
        <f t="shared" si="29"/>
        <v>0</v>
      </c>
      <c r="AL53" s="52"/>
      <c r="AM53" s="49">
        <f>+'[2]CDIS Table-4'!U50</f>
        <v>0</v>
      </c>
      <c r="AN53" s="52">
        <f t="shared" si="40"/>
        <v>0</v>
      </c>
      <c r="AO53" s="52">
        <f t="shared" si="24"/>
        <v>0</v>
      </c>
      <c r="AP53" s="52">
        <f t="shared" si="41"/>
        <v>0</v>
      </c>
      <c r="AQ53" s="52">
        <f t="shared" si="26"/>
        <v>0</v>
      </c>
      <c r="AR53" s="52">
        <f t="shared" si="44"/>
        <v>0</v>
      </c>
      <c r="AS53" s="52">
        <f t="shared" si="30"/>
        <v>0</v>
      </c>
      <c r="AT53" s="52">
        <f t="shared" si="48"/>
        <v>0</v>
      </c>
      <c r="AU53" s="52">
        <f t="shared" si="45"/>
        <v>0</v>
      </c>
    </row>
    <row r="54" spans="2:47" ht="14" hidden="1" customHeight="1" x14ac:dyDescent="0.35">
      <c r="C54" s="297" t="s">
        <v>79</v>
      </c>
      <c r="D54" s="294"/>
      <c r="E54" s="293"/>
      <c r="F54" s="292"/>
      <c r="G54" s="292"/>
      <c r="H54" s="292"/>
      <c r="I54" s="290"/>
      <c r="J54" s="290"/>
      <c r="K54" s="290"/>
      <c r="L54" s="296"/>
      <c r="M54" s="290"/>
      <c r="N54" s="295"/>
      <c r="O54" s="294"/>
      <c r="P54" s="293"/>
      <c r="Q54" s="292"/>
      <c r="R54" s="292"/>
      <c r="S54" s="292"/>
      <c r="T54" s="290"/>
      <c r="U54" s="290"/>
      <c r="V54" s="290"/>
      <c r="W54" s="291"/>
      <c r="X54" s="290"/>
      <c r="Y54" s="289"/>
      <c r="Z54" s="266"/>
      <c r="AA54" s="49">
        <f>+'[2]CDIS Table-4'!O51</f>
        <v>0</v>
      </c>
      <c r="AB54" s="52">
        <f t="shared" si="46"/>
        <v>0</v>
      </c>
      <c r="AC54" s="52">
        <f t="shared" si="20"/>
        <v>0</v>
      </c>
      <c r="AD54" s="52">
        <f t="shared" si="47"/>
        <v>0</v>
      </c>
      <c r="AE54" s="52">
        <f t="shared" si="22"/>
        <v>0</v>
      </c>
      <c r="AF54" s="52"/>
      <c r="AG54" s="49">
        <f t="shared" si="42"/>
        <v>0</v>
      </c>
      <c r="AH54" s="52">
        <f t="shared" si="39"/>
        <v>0</v>
      </c>
      <c r="AI54" s="52">
        <f t="shared" si="23"/>
        <v>0</v>
      </c>
      <c r="AJ54" s="52">
        <f t="shared" si="43"/>
        <v>0</v>
      </c>
      <c r="AK54" s="52">
        <f t="shared" si="29"/>
        <v>0</v>
      </c>
      <c r="AL54" s="52"/>
      <c r="AM54" s="49">
        <f>+'[2]CDIS Table-4'!U51</f>
        <v>0</v>
      </c>
      <c r="AN54" s="52">
        <f t="shared" si="40"/>
        <v>0</v>
      </c>
      <c r="AO54" s="52">
        <f t="shared" si="24"/>
        <v>0</v>
      </c>
      <c r="AP54" s="52">
        <f t="shared" si="41"/>
        <v>0</v>
      </c>
      <c r="AQ54" s="52">
        <f t="shared" si="26"/>
        <v>0</v>
      </c>
      <c r="AR54" s="52">
        <f t="shared" si="44"/>
        <v>0</v>
      </c>
      <c r="AS54" s="52">
        <f t="shared" si="30"/>
        <v>0</v>
      </c>
      <c r="AT54" s="52">
        <f t="shared" si="48"/>
        <v>0</v>
      </c>
      <c r="AU54" s="52">
        <f t="shared" si="45"/>
        <v>0</v>
      </c>
    </row>
    <row r="55" spans="2:47" ht="14" hidden="1" customHeight="1" x14ac:dyDescent="0.35">
      <c r="C55" s="297" t="str">
        <f>+[3]TableA1!A56</f>
        <v>Antigua and Barbuda</v>
      </c>
      <c r="D55" s="294"/>
      <c r="E55" s="293"/>
      <c r="F55" s="292"/>
      <c r="G55" s="292"/>
      <c r="H55" s="292"/>
      <c r="I55" s="290"/>
      <c r="J55" s="290"/>
      <c r="K55" s="290"/>
      <c r="L55" s="296"/>
      <c r="M55" s="290"/>
      <c r="N55" s="295"/>
      <c r="O55" s="294"/>
      <c r="P55" s="293"/>
      <c r="Q55" s="292"/>
      <c r="R55" s="292"/>
      <c r="S55" s="292"/>
      <c r="T55" s="290"/>
      <c r="U55" s="290"/>
      <c r="V55" s="290"/>
      <c r="W55" s="291"/>
      <c r="X55" s="290"/>
      <c r="Y55" s="289"/>
      <c r="Z55" s="266"/>
      <c r="AA55" s="49">
        <f>+'[2]CDIS Table-4'!O52</f>
        <v>0</v>
      </c>
      <c r="AB55" s="52">
        <f t="shared" si="46"/>
        <v>0</v>
      </c>
      <c r="AC55" s="52">
        <f t="shared" si="20"/>
        <v>0</v>
      </c>
      <c r="AD55" s="52">
        <f t="shared" si="47"/>
        <v>0</v>
      </c>
      <c r="AE55" s="52">
        <f t="shared" si="22"/>
        <v>0</v>
      </c>
      <c r="AF55" s="52"/>
      <c r="AG55" s="49">
        <f t="shared" si="42"/>
        <v>0</v>
      </c>
      <c r="AH55" s="52">
        <f t="shared" si="39"/>
        <v>0</v>
      </c>
      <c r="AI55" s="52">
        <f t="shared" si="23"/>
        <v>0</v>
      </c>
      <c r="AJ55" s="52">
        <f t="shared" si="43"/>
        <v>0</v>
      </c>
      <c r="AK55" s="52">
        <f t="shared" si="29"/>
        <v>0</v>
      </c>
      <c r="AL55" s="52"/>
      <c r="AM55" s="49">
        <f>+'[2]CDIS Table-4'!U52</f>
        <v>0</v>
      </c>
      <c r="AN55" s="52">
        <f t="shared" si="40"/>
        <v>0</v>
      </c>
      <c r="AO55" s="52">
        <f t="shared" si="24"/>
        <v>0</v>
      </c>
      <c r="AP55" s="52">
        <f t="shared" si="41"/>
        <v>0</v>
      </c>
      <c r="AQ55" s="52">
        <f t="shared" si="26"/>
        <v>0</v>
      </c>
      <c r="AR55" s="52">
        <f t="shared" si="44"/>
        <v>0</v>
      </c>
      <c r="AS55" s="52">
        <f t="shared" si="30"/>
        <v>0</v>
      </c>
      <c r="AT55" s="52">
        <f t="shared" si="48"/>
        <v>0</v>
      </c>
      <c r="AU55" s="52">
        <f t="shared" si="45"/>
        <v>0</v>
      </c>
    </row>
    <row r="56" spans="2:47" ht="14" hidden="1" customHeight="1" x14ac:dyDescent="0.35">
      <c r="C56" s="297" t="s">
        <v>81</v>
      </c>
      <c r="D56" s="294"/>
      <c r="E56" s="293"/>
      <c r="F56" s="292"/>
      <c r="G56" s="292"/>
      <c r="H56" s="292"/>
      <c r="I56" s="290"/>
      <c r="J56" s="290"/>
      <c r="K56" s="290"/>
      <c r="L56" s="296"/>
      <c r="M56" s="290"/>
      <c r="N56" s="295"/>
      <c r="O56" s="294"/>
      <c r="P56" s="293"/>
      <c r="Q56" s="292"/>
      <c r="R56" s="292"/>
      <c r="S56" s="292"/>
      <c r="T56" s="290"/>
      <c r="U56" s="290"/>
      <c r="V56" s="290"/>
      <c r="W56" s="291"/>
      <c r="X56" s="290"/>
      <c r="Y56" s="289"/>
      <c r="Z56" s="266"/>
      <c r="AA56" s="49">
        <f>+'[2]CDIS Table-4'!O53</f>
        <v>0</v>
      </c>
      <c r="AB56" s="52">
        <f t="shared" si="46"/>
        <v>0</v>
      </c>
      <c r="AC56" s="52">
        <f t="shared" si="20"/>
        <v>0</v>
      </c>
      <c r="AD56" s="52">
        <f t="shared" si="47"/>
        <v>0</v>
      </c>
      <c r="AE56" s="52">
        <f t="shared" si="22"/>
        <v>0</v>
      </c>
      <c r="AF56" s="52"/>
      <c r="AG56" s="49">
        <f t="shared" si="42"/>
        <v>0</v>
      </c>
      <c r="AH56" s="52">
        <f t="shared" si="39"/>
        <v>0</v>
      </c>
      <c r="AI56" s="52">
        <f t="shared" si="23"/>
        <v>0</v>
      </c>
      <c r="AJ56" s="52">
        <f t="shared" si="43"/>
        <v>0</v>
      </c>
      <c r="AK56" s="52">
        <f t="shared" si="29"/>
        <v>0</v>
      </c>
      <c r="AL56" s="52"/>
      <c r="AM56" s="49">
        <f>+'[2]CDIS Table-4'!U53</f>
        <v>0</v>
      </c>
      <c r="AN56" s="52">
        <f t="shared" si="40"/>
        <v>0</v>
      </c>
      <c r="AO56" s="52">
        <f t="shared" si="24"/>
        <v>0</v>
      </c>
      <c r="AP56" s="52">
        <f t="shared" si="41"/>
        <v>0</v>
      </c>
      <c r="AQ56" s="52">
        <f t="shared" si="26"/>
        <v>0</v>
      </c>
      <c r="AR56" s="52">
        <f t="shared" si="44"/>
        <v>0</v>
      </c>
      <c r="AS56" s="52">
        <f t="shared" si="30"/>
        <v>0</v>
      </c>
      <c r="AT56" s="52">
        <f t="shared" si="48"/>
        <v>0</v>
      </c>
      <c r="AU56" s="52">
        <f t="shared" si="45"/>
        <v>0</v>
      </c>
    </row>
    <row r="57" spans="2:47" ht="14" hidden="1" customHeight="1" x14ac:dyDescent="0.35">
      <c r="C57" s="297" t="s">
        <v>83</v>
      </c>
      <c r="D57" s="294"/>
      <c r="E57" s="293"/>
      <c r="F57" s="292"/>
      <c r="G57" s="292"/>
      <c r="H57" s="292"/>
      <c r="I57" s="290"/>
      <c r="J57" s="290"/>
      <c r="K57" s="290"/>
      <c r="L57" s="296"/>
      <c r="M57" s="290"/>
      <c r="N57" s="295"/>
      <c r="O57" s="294"/>
      <c r="P57" s="293"/>
      <c r="Q57" s="292"/>
      <c r="R57" s="292"/>
      <c r="S57" s="292"/>
      <c r="T57" s="290"/>
      <c r="U57" s="290"/>
      <c r="V57" s="290"/>
      <c r="W57" s="291"/>
      <c r="X57" s="290"/>
      <c r="Y57" s="289"/>
      <c r="Z57" s="266"/>
      <c r="AA57" s="49">
        <f>+'[2]CDIS Table-4'!O54</f>
        <v>0</v>
      </c>
      <c r="AB57" s="52">
        <f t="shared" si="46"/>
        <v>0</v>
      </c>
      <c r="AC57" s="52">
        <f t="shared" si="20"/>
        <v>0</v>
      </c>
      <c r="AD57" s="52">
        <f t="shared" si="47"/>
        <v>0</v>
      </c>
      <c r="AE57" s="52">
        <f t="shared" si="22"/>
        <v>0</v>
      </c>
      <c r="AF57" s="52"/>
      <c r="AG57" s="49">
        <f t="shared" si="42"/>
        <v>0</v>
      </c>
      <c r="AH57" s="52">
        <f t="shared" si="39"/>
        <v>0</v>
      </c>
      <c r="AI57" s="52">
        <f t="shared" si="23"/>
        <v>0</v>
      </c>
      <c r="AJ57" s="52">
        <f t="shared" si="43"/>
        <v>0</v>
      </c>
      <c r="AK57" s="52">
        <f t="shared" si="29"/>
        <v>0</v>
      </c>
      <c r="AL57" s="52"/>
      <c r="AM57" s="49">
        <f>+'[2]CDIS Table-4'!U54</f>
        <v>0</v>
      </c>
      <c r="AN57" s="52">
        <f t="shared" si="40"/>
        <v>0</v>
      </c>
      <c r="AO57" s="52">
        <f t="shared" si="24"/>
        <v>0</v>
      </c>
      <c r="AP57" s="52">
        <f t="shared" si="41"/>
        <v>0</v>
      </c>
      <c r="AQ57" s="52">
        <f t="shared" si="26"/>
        <v>0</v>
      </c>
      <c r="AR57" s="52">
        <f t="shared" si="44"/>
        <v>0</v>
      </c>
      <c r="AS57" s="52">
        <f t="shared" si="30"/>
        <v>0</v>
      </c>
      <c r="AT57" s="52">
        <f t="shared" si="48"/>
        <v>0</v>
      </c>
      <c r="AU57" s="52">
        <f t="shared" si="45"/>
        <v>0</v>
      </c>
    </row>
    <row r="58" spans="2:47" ht="14" hidden="1" customHeight="1" x14ac:dyDescent="0.35">
      <c r="C58" s="297" t="s">
        <v>85</v>
      </c>
      <c r="D58" s="294"/>
      <c r="E58" s="293"/>
      <c r="F58" s="292"/>
      <c r="G58" s="292"/>
      <c r="H58" s="292"/>
      <c r="I58" s="290"/>
      <c r="J58" s="290"/>
      <c r="K58" s="290"/>
      <c r="L58" s="296"/>
      <c r="M58" s="290"/>
      <c r="N58" s="295"/>
      <c r="O58" s="294"/>
      <c r="P58" s="293"/>
      <c r="Q58" s="292"/>
      <c r="R58" s="292"/>
      <c r="S58" s="292"/>
      <c r="T58" s="290"/>
      <c r="U58" s="290"/>
      <c r="V58" s="290"/>
      <c r="W58" s="291"/>
      <c r="X58" s="290"/>
      <c r="Y58" s="289"/>
      <c r="Z58" s="266"/>
      <c r="AA58" s="49">
        <f>+'[2]CDIS Table-4'!O55</f>
        <v>0</v>
      </c>
      <c r="AB58" s="52">
        <f t="shared" si="46"/>
        <v>0</v>
      </c>
      <c r="AC58" s="52">
        <f t="shared" si="20"/>
        <v>0</v>
      </c>
      <c r="AD58" s="52">
        <f t="shared" si="47"/>
        <v>0</v>
      </c>
      <c r="AE58" s="52">
        <f t="shared" si="22"/>
        <v>0</v>
      </c>
      <c r="AF58" s="52"/>
      <c r="AG58" s="49">
        <f t="shared" si="42"/>
        <v>0</v>
      </c>
      <c r="AH58" s="52">
        <f t="shared" si="39"/>
        <v>0</v>
      </c>
      <c r="AI58" s="52">
        <f t="shared" si="23"/>
        <v>0</v>
      </c>
      <c r="AJ58" s="52">
        <f t="shared" si="43"/>
        <v>0</v>
      </c>
      <c r="AK58" s="52">
        <f t="shared" si="29"/>
        <v>0</v>
      </c>
      <c r="AL58" s="52"/>
      <c r="AM58" s="49">
        <f>+'[2]CDIS Table-4'!U55</f>
        <v>0</v>
      </c>
      <c r="AN58" s="52">
        <f t="shared" si="40"/>
        <v>0</v>
      </c>
      <c r="AO58" s="52">
        <f t="shared" si="24"/>
        <v>0</v>
      </c>
      <c r="AP58" s="52">
        <f t="shared" si="41"/>
        <v>0</v>
      </c>
      <c r="AQ58" s="52">
        <f t="shared" si="26"/>
        <v>0</v>
      </c>
      <c r="AR58" s="52">
        <f t="shared" si="44"/>
        <v>0</v>
      </c>
      <c r="AS58" s="52">
        <f t="shared" si="30"/>
        <v>0</v>
      </c>
      <c r="AT58" s="52">
        <f t="shared" si="48"/>
        <v>0</v>
      </c>
      <c r="AU58" s="52">
        <f t="shared" si="45"/>
        <v>0</v>
      </c>
    </row>
    <row r="59" spans="2:47" ht="14" hidden="1" customHeight="1" x14ac:dyDescent="0.35">
      <c r="C59" s="297" t="str">
        <f>+[3]TableA1!A60</f>
        <v>Barbados</v>
      </c>
      <c r="D59" s="294"/>
      <c r="E59" s="293"/>
      <c r="F59" s="292"/>
      <c r="G59" s="292"/>
      <c r="H59" s="292"/>
      <c r="I59" s="290"/>
      <c r="J59" s="290"/>
      <c r="K59" s="290"/>
      <c r="L59" s="296"/>
      <c r="M59" s="290"/>
      <c r="N59" s="295"/>
      <c r="O59" s="294"/>
      <c r="P59" s="293"/>
      <c r="Q59" s="292"/>
      <c r="R59" s="292"/>
      <c r="S59" s="292"/>
      <c r="T59" s="290"/>
      <c r="U59" s="290"/>
      <c r="V59" s="290"/>
      <c r="W59" s="291"/>
      <c r="X59" s="290"/>
      <c r="Y59" s="289"/>
      <c r="Z59" s="266"/>
      <c r="AA59" s="49">
        <f>+'[2]CDIS Table-4'!O56</f>
        <v>0</v>
      </c>
      <c r="AB59" s="52">
        <f t="shared" si="46"/>
        <v>0</v>
      </c>
      <c r="AC59" s="52">
        <f t="shared" si="20"/>
        <v>0</v>
      </c>
      <c r="AD59" s="52">
        <f t="shared" si="47"/>
        <v>0</v>
      </c>
      <c r="AE59" s="52">
        <f t="shared" si="22"/>
        <v>0</v>
      </c>
      <c r="AF59" s="52"/>
      <c r="AG59" s="49">
        <f t="shared" si="42"/>
        <v>0</v>
      </c>
      <c r="AH59" s="52">
        <f t="shared" si="39"/>
        <v>0</v>
      </c>
      <c r="AI59" s="52">
        <f t="shared" si="23"/>
        <v>0</v>
      </c>
      <c r="AJ59" s="52">
        <f t="shared" si="43"/>
        <v>0</v>
      </c>
      <c r="AK59" s="52">
        <f t="shared" si="29"/>
        <v>0</v>
      </c>
      <c r="AL59" s="52"/>
      <c r="AM59" s="49">
        <f>+'[2]CDIS Table-4'!U56</f>
        <v>0</v>
      </c>
      <c r="AN59" s="52">
        <f t="shared" si="40"/>
        <v>0</v>
      </c>
      <c r="AO59" s="52">
        <f t="shared" si="24"/>
        <v>0</v>
      </c>
      <c r="AP59" s="52">
        <f t="shared" si="41"/>
        <v>0</v>
      </c>
      <c r="AQ59" s="52">
        <f t="shared" si="26"/>
        <v>0</v>
      </c>
      <c r="AR59" s="52">
        <f t="shared" si="44"/>
        <v>0</v>
      </c>
      <c r="AS59" s="52">
        <f t="shared" si="30"/>
        <v>0</v>
      </c>
      <c r="AT59" s="52">
        <f t="shared" si="48"/>
        <v>0</v>
      </c>
      <c r="AU59" s="52">
        <f t="shared" si="45"/>
        <v>0</v>
      </c>
    </row>
    <row r="60" spans="2:47" ht="14" hidden="1" customHeight="1" x14ac:dyDescent="0.35">
      <c r="C60" s="297" t="s">
        <v>87</v>
      </c>
      <c r="D60" s="294"/>
      <c r="E60" s="293"/>
      <c r="F60" s="292"/>
      <c r="G60" s="292"/>
      <c r="H60" s="292"/>
      <c r="I60" s="290"/>
      <c r="J60" s="290"/>
      <c r="K60" s="290"/>
      <c r="L60" s="296"/>
      <c r="M60" s="290"/>
      <c r="N60" s="295"/>
      <c r="O60" s="294"/>
      <c r="P60" s="293"/>
      <c r="Q60" s="292"/>
      <c r="R60" s="292"/>
      <c r="S60" s="292"/>
      <c r="T60" s="290"/>
      <c r="U60" s="290"/>
      <c r="V60" s="290"/>
      <c r="W60" s="291"/>
      <c r="X60" s="290"/>
      <c r="Y60" s="289"/>
      <c r="Z60" s="266"/>
      <c r="AA60" s="49">
        <f>+'[2]CDIS Table-4'!O57</f>
        <v>0</v>
      </c>
      <c r="AB60" s="52">
        <f t="shared" si="46"/>
        <v>0</v>
      </c>
      <c r="AC60" s="52">
        <f t="shared" si="20"/>
        <v>0</v>
      </c>
      <c r="AD60" s="52">
        <f t="shared" si="47"/>
        <v>0</v>
      </c>
      <c r="AE60" s="52">
        <f t="shared" si="22"/>
        <v>0</v>
      </c>
      <c r="AF60" s="52"/>
      <c r="AG60" s="49">
        <f t="shared" si="42"/>
        <v>0</v>
      </c>
      <c r="AH60" s="52">
        <f t="shared" si="39"/>
        <v>0</v>
      </c>
      <c r="AI60" s="52">
        <f t="shared" si="23"/>
        <v>0</v>
      </c>
      <c r="AJ60" s="52">
        <f t="shared" si="43"/>
        <v>0</v>
      </c>
      <c r="AK60" s="52">
        <f t="shared" si="29"/>
        <v>0</v>
      </c>
      <c r="AL60" s="52"/>
      <c r="AM60" s="49">
        <f>+'[2]CDIS Table-4'!U57</f>
        <v>0</v>
      </c>
      <c r="AN60" s="52">
        <f t="shared" si="40"/>
        <v>0</v>
      </c>
      <c r="AO60" s="52">
        <f t="shared" si="24"/>
        <v>0</v>
      </c>
      <c r="AP60" s="52">
        <f t="shared" si="41"/>
        <v>0</v>
      </c>
      <c r="AQ60" s="52">
        <f t="shared" si="26"/>
        <v>0</v>
      </c>
      <c r="AR60" s="52">
        <f t="shared" si="44"/>
        <v>0</v>
      </c>
      <c r="AS60" s="52">
        <f t="shared" si="30"/>
        <v>0</v>
      </c>
      <c r="AT60" s="52">
        <f t="shared" si="48"/>
        <v>0</v>
      </c>
      <c r="AU60" s="52">
        <f t="shared" si="45"/>
        <v>0</v>
      </c>
    </row>
    <row r="61" spans="2:47" ht="14" hidden="1" customHeight="1" x14ac:dyDescent="0.35">
      <c r="C61" s="297" t="s">
        <v>88</v>
      </c>
      <c r="D61" s="294"/>
      <c r="E61" s="293"/>
      <c r="F61" s="292"/>
      <c r="G61" s="292"/>
      <c r="H61" s="292"/>
      <c r="I61" s="290"/>
      <c r="J61" s="290"/>
      <c r="K61" s="290"/>
      <c r="L61" s="296"/>
      <c r="M61" s="290"/>
      <c r="N61" s="295"/>
      <c r="O61" s="294"/>
      <c r="P61" s="293"/>
      <c r="Q61" s="292"/>
      <c r="R61" s="292"/>
      <c r="S61" s="292"/>
      <c r="T61" s="290"/>
      <c r="U61" s="290"/>
      <c r="V61" s="290"/>
      <c r="W61" s="291"/>
      <c r="X61" s="290"/>
      <c r="Y61" s="289"/>
      <c r="Z61" s="266"/>
      <c r="AA61" s="49">
        <f>+'[2]CDIS Table-4'!O58</f>
        <v>0</v>
      </c>
      <c r="AB61" s="52">
        <f t="shared" si="46"/>
        <v>0</v>
      </c>
      <c r="AC61" s="52">
        <f t="shared" si="20"/>
        <v>0</v>
      </c>
      <c r="AD61" s="52">
        <f t="shared" si="47"/>
        <v>0</v>
      </c>
      <c r="AE61" s="52">
        <f t="shared" si="22"/>
        <v>0</v>
      </c>
      <c r="AF61" s="52"/>
      <c r="AG61" s="49">
        <f t="shared" si="42"/>
        <v>0</v>
      </c>
      <c r="AH61" s="52">
        <f t="shared" si="39"/>
        <v>0</v>
      </c>
      <c r="AI61" s="52">
        <f t="shared" si="23"/>
        <v>0</v>
      </c>
      <c r="AJ61" s="52">
        <f t="shared" si="43"/>
        <v>0</v>
      </c>
      <c r="AK61" s="52">
        <f t="shared" si="29"/>
        <v>0</v>
      </c>
      <c r="AL61" s="52"/>
      <c r="AM61" s="49">
        <f>+'[2]CDIS Table-4'!U58</f>
        <v>0</v>
      </c>
      <c r="AN61" s="52">
        <f t="shared" si="40"/>
        <v>0</v>
      </c>
      <c r="AO61" s="52">
        <f t="shared" si="24"/>
        <v>0</v>
      </c>
      <c r="AP61" s="52">
        <f t="shared" si="41"/>
        <v>0</v>
      </c>
      <c r="AQ61" s="52">
        <f t="shared" si="26"/>
        <v>0</v>
      </c>
      <c r="AR61" s="52">
        <f t="shared" si="44"/>
        <v>0</v>
      </c>
      <c r="AS61" s="52">
        <f t="shared" si="30"/>
        <v>0</v>
      </c>
      <c r="AT61" s="52">
        <f t="shared" si="48"/>
        <v>0</v>
      </c>
      <c r="AU61" s="52">
        <f t="shared" si="45"/>
        <v>0</v>
      </c>
    </row>
    <row r="62" spans="2:47" ht="14" hidden="1" customHeight="1" x14ac:dyDescent="0.35">
      <c r="C62" s="297" t="s">
        <v>90</v>
      </c>
      <c r="D62" s="294"/>
      <c r="E62" s="293"/>
      <c r="F62" s="292"/>
      <c r="G62" s="292"/>
      <c r="H62" s="292"/>
      <c r="I62" s="290"/>
      <c r="J62" s="290"/>
      <c r="K62" s="290"/>
      <c r="L62" s="296"/>
      <c r="M62" s="290"/>
      <c r="N62" s="295"/>
      <c r="O62" s="294"/>
      <c r="P62" s="293"/>
      <c r="Q62" s="292"/>
      <c r="R62" s="292"/>
      <c r="S62" s="292"/>
      <c r="T62" s="290"/>
      <c r="U62" s="290"/>
      <c r="V62" s="290"/>
      <c r="W62" s="291"/>
      <c r="X62" s="290"/>
      <c r="Y62" s="289"/>
      <c r="Z62" s="266"/>
      <c r="AA62" s="49">
        <f>+'[2]CDIS Table-4'!O59</f>
        <v>0</v>
      </c>
      <c r="AB62" s="52">
        <f t="shared" si="46"/>
        <v>0</v>
      </c>
      <c r="AC62" s="52">
        <f t="shared" si="20"/>
        <v>0</v>
      </c>
      <c r="AD62" s="52">
        <f t="shared" si="47"/>
        <v>0</v>
      </c>
      <c r="AE62" s="52">
        <f t="shared" si="22"/>
        <v>0</v>
      </c>
      <c r="AF62" s="52"/>
      <c r="AG62" s="49">
        <f t="shared" si="42"/>
        <v>0</v>
      </c>
      <c r="AH62" s="52">
        <f t="shared" si="39"/>
        <v>0</v>
      </c>
      <c r="AI62" s="52">
        <f t="shared" si="23"/>
        <v>0</v>
      </c>
      <c r="AJ62" s="52">
        <f t="shared" si="43"/>
        <v>0</v>
      </c>
      <c r="AK62" s="52">
        <f t="shared" si="29"/>
        <v>0</v>
      </c>
      <c r="AL62" s="52"/>
      <c r="AM62" s="49">
        <f>+'[2]CDIS Table-4'!U59</f>
        <v>0</v>
      </c>
      <c r="AN62" s="52">
        <f t="shared" si="40"/>
        <v>0</v>
      </c>
      <c r="AO62" s="52">
        <f t="shared" si="24"/>
        <v>0</v>
      </c>
      <c r="AP62" s="52">
        <f t="shared" si="41"/>
        <v>0</v>
      </c>
      <c r="AQ62" s="52">
        <f t="shared" si="26"/>
        <v>0</v>
      </c>
      <c r="AR62" s="52">
        <f t="shared" si="44"/>
        <v>0</v>
      </c>
      <c r="AS62" s="52">
        <f t="shared" si="30"/>
        <v>0</v>
      </c>
      <c r="AT62" s="52">
        <f t="shared" si="48"/>
        <v>0</v>
      </c>
      <c r="AU62" s="52">
        <f t="shared" si="45"/>
        <v>0</v>
      </c>
    </row>
    <row r="63" spans="2:47" ht="14" hidden="1" customHeight="1" x14ac:dyDescent="0.35">
      <c r="C63" s="297" t="s">
        <v>329</v>
      </c>
      <c r="D63" s="294"/>
      <c r="E63" s="293"/>
      <c r="F63" s="292"/>
      <c r="G63" s="292"/>
      <c r="H63" s="292"/>
      <c r="I63" s="290"/>
      <c r="J63" s="290"/>
      <c r="K63" s="290"/>
      <c r="L63" s="296"/>
      <c r="M63" s="290"/>
      <c r="N63" s="295"/>
      <c r="O63" s="294"/>
      <c r="P63" s="293"/>
      <c r="Q63" s="292"/>
      <c r="R63" s="292"/>
      <c r="S63" s="292"/>
      <c r="T63" s="290"/>
      <c r="U63" s="290"/>
      <c r="V63" s="290"/>
      <c r="W63" s="291"/>
      <c r="X63" s="290"/>
      <c r="Y63" s="289"/>
      <c r="Z63" s="266"/>
      <c r="AA63" s="49">
        <f>+'[2]CDIS Table-4'!O60</f>
        <v>0</v>
      </c>
      <c r="AB63" s="52">
        <f t="shared" si="46"/>
        <v>0</v>
      </c>
      <c r="AC63" s="52">
        <f t="shared" si="20"/>
        <v>0</v>
      </c>
      <c r="AD63" s="52">
        <f t="shared" si="47"/>
        <v>0</v>
      </c>
      <c r="AE63" s="52">
        <f t="shared" si="22"/>
        <v>0</v>
      </c>
      <c r="AF63" s="52"/>
      <c r="AG63" s="49">
        <f t="shared" si="42"/>
        <v>0</v>
      </c>
      <c r="AH63" s="52">
        <f t="shared" si="39"/>
        <v>0</v>
      </c>
      <c r="AI63" s="52">
        <f t="shared" si="23"/>
        <v>0</v>
      </c>
      <c r="AJ63" s="52">
        <f t="shared" si="43"/>
        <v>0</v>
      </c>
      <c r="AK63" s="52">
        <f t="shared" si="29"/>
        <v>0</v>
      </c>
      <c r="AL63" s="52"/>
      <c r="AM63" s="49">
        <f>+'[2]CDIS Table-4'!U60</f>
        <v>0</v>
      </c>
      <c r="AN63" s="52">
        <f t="shared" si="40"/>
        <v>0</v>
      </c>
      <c r="AO63" s="52">
        <f t="shared" si="24"/>
        <v>0</v>
      </c>
      <c r="AP63" s="52">
        <f t="shared" si="41"/>
        <v>0</v>
      </c>
      <c r="AQ63" s="52">
        <f t="shared" si="26"/>
        <v>0</v>
      </c>
      <c r="AR63" s="52">
        <f t="shared" si="44"/>
        <v>0</v>
      </c>
      <c r="AS63" s="52">
        <f t="shared" si="30"/>
        <v>0</v>
      </c>
      <c r="AT63" s="52">
        <f t="shared" si="48"/>
        <v>0</v>
      </c>
      <c r="AU63" s="52">
        <f t="shared" si="45"/>
        <v>0</v>
      </c>
    </row>
    <row r="64" spans="2:47" ht="14" hidden="1" customHeight="1" x14ac:dyDescent="0.35">
      <c r="C64" s="301" t="s">
        <v>93</v>
      </c>
      <c r="D64" s="300"/>
      <c r="E64" s="293"/>
      <c r="F64" s="292"/>
      <c r="G64" s="292"/>
      <c r="H64" s="292"/>
      <c r="I64" s="290"/>
      <c r="J64" s="290"/>
      <c r="K64" s="290"/>
      <c r="L64" s="296"/>
      <c r="M64" s="290"/>
      <c r="N64" s="295"/>
      <c r="O64" s="300"/>
      <c r="P64" s="293"/>
      <c r="Q64" s="292"/>
      <c r="R64" s="292"/>
      <c r="S64" s="292"/>
      <c r="T64" s="290"/>
      <c r="U64" s="290"/>
      <c r="V64" s="290"/>
      <c r="W64" s="291"/>
      <c r="X64" s="290"/>
      <c r="Y64" s="289"/>
      <c r="Z64" s="266"/>
      <c r="AA64" s="49">
        <f>+'[2]CDIS Table-4'!O61</f>
        <v>0</v>
      </c>
      <c r="AB64" s="52">
        <f t="shared" si="46"/>
        <v>0</v>
      </c>
      <c r="AC64" s="52">
        <f t="shared" ref="AC64:AC88" si="49">+AB64/$AB$102</f>
        <v>0</v>
      </c>
      <c r="AD64" s="52">
        <f t="shared" si="47"/>
        <v>0</v>
      </c>
      <c r="AE64" s="52">
        <f t="shared" ref="AE64:AE88" si="50">+AD64/$AD$102</f>
        <v>0</v>
      </c>
      <c r="AF64" s="52"/>
      <c r="AG64" s="49">
        <f t="shared" si="42"/>
        <v>0</v>
      </c>
      <c r="AH64" s="52">
        <f t="shared" si="39"/>
        <v>0</v>
      </c>
      <c r="AI64" s="52">
        <f t="shared" ref="AI64:AI88" si="51">+AH64/$AB$102</f>
        <v>0</v>
      </c>
      <c r="AJ64" s="52">
        <f t="shared" si="43"/>
        <v>0</v>
      </c>
      <c r="AK64" s="52">
        <f t="shared" si="29"/>
        <v>0</v>
      </c>
      <c r="AL64" s="52"/>
      <c r="AM64" s="49">
        <f>+'[2]CDIS Table-4'!U61</f>
        <v>0</v>
      </c>
      <c r="AN64" s="52">
        <f t="shared" si="40"/>
        <v>0</v>
      </c>
      <c r="AO64" s="52">
        <f t="shared" ref="AO64:AO88" si="52">+AN64/$AB$102</f>
        <v>0</v>
      </c>
      <c r="AP64" s="52">
        <f t="shared" si="41"/>
        <v>0</v>
      </c>
      <c r="AQ64" s="52">
        <f t="shared" ref="AQ64:AQ88" si="53">+AP64/$AD$102</f>
        <v>0</v>
      </c>
      <c r="AR64" s="52">
        <f t="shared" si="44"/>
        <v>0</v>
      </c>
      <c r="AS64" s="52">
        <f t="shared" si="30"/>
        <v>0</v>
      </c>
      <c r="AT64" s="52">
        <f t="shared" si="48"/>
        <v>0</v>
      </c>
      <c r="AU64" s="52">
        <f t="shared" si="45"/>
        <v>0</v>
      </c>
    </row>
    <row r="65" spans="3:47" ht="14" hidden="1" customHeight="1" x14ac:dyDescent="0.35">
      <c r="C65" s="297" t="s">
        <v>95</v>
      </c>
      <c r="D65" s="294"/>
      <c r="E65" s="293"/>
      <c r="F65" s="292"/>
      <c r="G65" s="292"/>
      <c r="H65" s="292"/>
      <c r="I65" s="290"/>
      <c r="J65" s="290"/>
      <c r="K65" s="290"/>
      <c r="L65" s="296"/>
      <c r="M65" s="290"/>
      <c r="N65" s="295"/>
      <c r="O65" s="294"/>
      <c r="P65" s="293"/>
      <c r="Q65" s="292"/>
      <c r="R65" s="292"/>
      <c r="S65" s="292"/>
      <c r="T65" s="290"/>
      <c r="U65" s="290"/>
      <c r="V65" s="290"/>
      <c r="W65" s="291"/>
      <c r="X65" s="290"/>
      <c r="Y65" s="289"/>
      <c r="Z65" s="266"/>
      <c r="AA65" s="49">
        <f>+'[2]CDIS Table-4'!O62</f>
        <v>0</v>
      </c>
      <c r="AB65" s="52">
        <f t="shared" si="46"/>
        <v>0</v>
      </c>
      <c r="AC65" s="52">
        <f t="shared" si="49"/>
        <v>0</v>
      </c>
      <c r="AD65" s="52">
        <f t="shared" si="47"/>
        <v>0</v>
      </c>
      <c r="AE65" s="52">
        <f t="shared" si="50"/>
        <v>0</v>
      </c>
      <c r="AF65" s="52"/>
      <c r="AG65" s="49">
        <f t="shared" si="42"/>
        <v>0</v>
      </c>
      <c r="AH65" s="52">
        <f t="shared" si="39"/>
        <v>0</v>
      </c>
      <c r="AI65" s="52">
        <f t="shared" si="51"/>
        <v>0</v>
      </c>
      <c r="AJ65" s="52">
        <f t="shared" si="43"/>
        <v>0</v>
      </c>
      <c r="AK65" s="52">
        <f t="shared" si="29"/>
        <v>0</v>
      </c>
      <c r="AL65" s="52"/>
      <c r="AM65" s="49">
        <f>+'[2]CDIS Table-4'!U62</f>
        <v>0</v>
      </c>
      <c r="AN65" s="52">
        <f t="shared" si="40"/>
        <v>0</v>
      </c>
      <c r="AO65" s="52">
        <f t="shared" si="52"/>
        <v>0</v>
      </c>
      <c r="AP65" s="52">
        <f t="shared" si="41"/>
        <v>0</v>
      </c>
      <c r="AQ65" s="52">
        <f t="shared" si="53"/>
        <v>0</v>
      </c>
      <c r="AR65" s="52">
        <f t="shared" si="44"/>
        <v>0</v>
      </c>
      <c r="AS65" s="52">
        <f t="shared" si="30"/>
        <v>0</v>
      </c>
      <c r="AT65" s="52">
        <f t="shared" si="48"/>
        <v>0</v>
      </c>
      <c r="AU65" s="52">
        <f t="shared" si="45"/>
        <v>0</v>
      </c>
    </row>
    <row r="66" spans="3:47" ht="14" hidden="1" customHeight="1" x14ac:dyDescent="0.35">
      <c r="C66" s="297" t="str">
        <f>+[3]TableA1!A67</f>
        <v>Cyprus</v>
      </c>
      <c r="D66" s="294"/>
      <c r="E66" s="293"/>
      <c r="F66" s="292"/>
      <c r="G66" s="292"/>
      <c r="H66" s="292"/>
      <c r="I66" s="290"/>
      <c r="J66" s="290"/>
      <c r="K66" s="290"/>
      <c r="L66" s="296"/>
      <c r="M66" s="290"/>
      <c r="N66" s="295"/>
      <c r="O66" s="294"/>
      <c r="P66" s="293"/>
      <c r="Q66" s="292"/>
      <c r="R66" s="292"/>
      <c r="S66" s="292"/>
      <c r="T66" s="290"/>
      <c r="U66" s="290"/>
      <c r="V66" s="290"/>
      <c r="W66" s="291"/>
      <c r="X66" s="290"/>
      <c r="Y66" s="289"/>
      <c r="Z66" s="266"/>
      <c r="AA66" s="49">
        <f>+'[2]CDIS Table-4'!O63</f>
        <v>1.2679959886447819E-2</v>
      </c>
      <c r="AB66" s="52">
        <f t="shared" si="46"/>
        <v>1.2679959886447819E-2</v>
      </c>
      <c r="AC66" s="52">
        <f t="shared" si="49"/>
        <v>2.5247233792251855E-2</v>
      </c>
      <c r="AD66" s="52">
        <f t="shared" si="47"/>
        <v>1.2679959886447819E-2</v>
      </c>
      <c r="AE66" s="52">
        <f t="shared" si="50"/>
        <v>3.2063957083188328E-2</v>
      </c>
      <c r="AF66" s="52"/>
      <c r="AG66" s="49">
        <f t="shared" si="42"/>
        <v>1.2679959886447819E-2</v>
      </c>
      <c r="AH66" s="52">
        <f t="shared" si="39"/>
        <v>1.2679959886447819E-2</v>
      </c>
      <c r="AI66" s="52">
        <f t="shared" si="51"/>
        <v>2.5247233792251855E-2</v>
      </c>
      <c r="AJ66" s="52">
        <f t="shared" si="43"/>
        <v>1.2679959886447819E-2</v>
      </c>
      <c r="AK66" s="52">
        <f t="shared" si="29"/>
        <v>8.3570060008550356E-2</v>
      </c>
      <c r="AL66" s="52"/>
      <c r="AM66" s="49">
        <f>+'[2]CDIS Table-4'!U63</f>
        <v>0</v>
      </c>
      <c r="AN66" s="52">
        <f t="shared" si="40"/>
        <v>0</v>
      </c>
      <c r="AO66" s="52">
        <f t="shared" si="52"/>
        <v>0</v>
      </c>
      <c r="AP66" s="52">
        <f t="shared" si="41"/>
        <v>0</v>
      </c>
      <c r="AQ66" s="52">
        <f t="shared" si="53"/>
        <v>0</v>
      </c>
      <c r="AR66" s="52">
        <f t="shared" si="44"/>
        <v>0</v>
      </c>
      <c r="AS66" s="52">
        <f t="shared" si="30"/>
        <v>0</v>
      </c>
      <c r="AT66" s="52">
        <f t="shared" si="48"/>
        <v>0</v>
      </c>
      <c r="AU66" s="52">
        <f t="shared" si="45"/>
        <v>0</v>
      </c>
    </row>
    <row r="67" spans="3:47" ht="14" hidden="1" customHeight="1" x14ac:dyDescent="0.35">
      <c r="C67" s="297" t="s">
        <v>97</v>
      </c>
      <c r="D67" s="294"/>
      <c r="E67" s="293"/>
      <c r="F67" s="292"/>
      <c r="G67" s="292"/>
      <c r="H67" s="292"/>
      <c r="I67" s="290"/>
      <c r="J67" s="290"/>
      <c r="K67" s="290"/>
      <c r="L67" s="296"/>
      <c r="M67" s="290"/>
      <c r="N67" s="295"/>
      <c r="O67" s="294"/>
      <c r="P67" s="293"/>
      <c r="Q67" s="292"/>
      <c r="R67" s="292"/>
      <c r="S67" s="292"/>
      <c r="T67" s="290"/>
      <c r="U67" s="290"/>
      <c r="V67" s="290"/>
      <c r="W67" s="291"/>
      <c r="X67" s="290"/>
      <c r="Y67" s="289"/>
      <c r="Z67" s="266"/>
      <c r="AA67" s="49">
        <f>+'[2]CDIS Table-4'!O64</f>
        <v>0</v>
      </c>
      <c r="AB67" s="52">
        <f t="shared" si="46"/>
        <v>0</v>
      </c>
      <c r="AC67" s="52">
        <f t="shared" si="49"/>
        <v>0</v>
      </c>
      <c r="AD67" s="52">
        <f t="shared" si="47"/>
        <v>0</v>
      </c>
      <c r="AE67" s="52">
        <f t="shared" si="50"/>
        <v>0</v>
      </c>
      <c r="AF67" s="52"/>
      <c r="AG67" s="49">
        <f t="shared" si="42"/>
        <v>0</v>
      </c>
      <c r="AH67" s="52">
        <f t="shared" si="39"/>
        <v>0</v>
      </c>
      <c r="AI67" s="52">
        <f t="shared" si="51"/>
        <v>0</v>
      </c>
      <c r="AJ67" s="52">
        <f t="shared" si="43"/>
        <v>0</v>
      </c>
      <c r="AK67" s="52">
        <f t="shared" si="29"/>
        <v>0</v>
      </c>
      <c r="AL67" s="52"/>
      <c r="AM67" s="49">
        <f>+'[2]CDIS Table-4'!U64</f>
        <v>0</v>
      </c>
      <c r="AN67" s="52">
        <f t="shared" si="40"/>
        <v>0</v>
      </c>
      <c r="AO67" s="52">
        <f t="shared" si="52"/>
        <v>0</v>
      </c>
      <c r="AP67" s="52">
        <f t="shared" si="41"/>
        <v>0</v>
      </c>
      <c r="AQ67" s="52">
        <f t="shared" si="53"/>
        <v>0</v>
      </c>
      <c r="AR67" s="52">
        <f t="shared" si="44"/>
        <v>0</v>
      </c>
      <c r="AS67" s="52">
        <f t="shared" si="30"/>
        <v>0</v>
      </c>
      <c r="AT67" s="52">
        <f t="shared" si="48"/>
        <v>0</v>
      </c>
      <c r="AU67" s="52">
        <f t="shared" si="45"/>
        <v>0</v>
      </c>
    </row>
    <row r="68" spans="3:47" ht="14" hidden="1" customHeight="1" x14ac:dyDescent="0.35">
      <c r="C68" s="297" t="str">
        <f>+[3]TableA1!A69</f>
        <v>Grenada</v>
      </c>
      <c r="D68" s="294"/>
      <c r="E68" s="293"/>
      <c r="F68" s="292"/>
      <c r="G68" s="292"/>
      <c r="H68" s="292"/>
      <c r="I68" s="290"/>
      <c r="J68" s="290"/>
      <c r="K68" s="290"/>
      <c r="L68" s="296"/>
      <c r="M68" s="290"/>
      <c r="N68" s="295"/>
      <c r="O68" s="294"/>
      <c r="P68" s="293"/>
      <c r="Q68" s="292"/>
      <c r="R68" s="292"/>
      <c r="S68" s="292"/>
      <c r="T68" s="290"/>
      <c r="U68" s="290"/>
      <c r="V68" s="290"/>
      <c r="W68" s="291"/>
      <c r="X68" s="290"/>
      <c r="Y68" s="289"/>
      <c r="Z68" s="266"/>
      <c r="AA68" s="49">
        <f>+'[2]CDIS Table-4'!O65</f>
        <v>0</v>
      </c>
      <c r="AB68" s="52">
        <f t="shared" si="46"/>
        <v>0</v>
      </c>
      <c r="AC68" s="52">
        <f t="shared" si="49"/>
        <v>0</v>
      </c>
      <c r="AD68" s="52">
        <f t="shared" si="47"/>
        <v>0</v>
      </c>
      <c r="AE68" s="52">
        <f t="shared" si="50"/>
        <v>0</v>
      </c>
      <c r="AF68" s="52"/>
      <c r="AG68" s="49">
        <f t="shared" si="42"/>
        <v>0</v>
      </c>
      <c r="AH68" s="52">
        <f t="shared" si="39"/>
        <v>0</v>
      </c>
      <c r="AI68" s="52">
        <f t="shared" si="51"/>
        <v>0</v>
      </c>
      <c r="AJ68" s="52">
        <f t="shared" si="43"/>
        <v>0</v>
      </c>
      <c r="AK68" s="52">
        <f t="shared" si="29"/>
        <v>0</v>
      </c>
      <c r="AL68" s="52"/>
      <c r="AM68" s="49">
        <f>+'[2]CDIS Table-4'!U65</f>
        <v>0</v>
      </c>
      <c r="AN68" s="52">
        <f t="shared" si="40"/>
        <v>0</v>
      </c>
      <c r="AO68" s="52">
        <f t="shared" si="52"/>
        <v>0</v>
      </c>
      <c r="AP68" s="52">
        <f t="shared" si="41"/>
        <v>0</v>
      </c>
      <c r="AQ68" s="52">
        <f t="shared" si="53"/>
        <v>0</v>
      </c>
      <c r="AR68" s="52">
        <f t="shared" si="44"/>
        <v>0</v>
      </c>
      <c r="AS68" s="52">
        <f t="shared" si="30"/>
        <v>0</v>
      </c>
      <c r="AT68" s="52">
        <f t="shared" si="48"/>
        <v>0</v>
      </c>
      <c r="AU68" s="52">
        <f t="shared" si="45"/>
        <v>0</v>
      </c>
    </row>
    <row r="69" spans="3:47" ht="14" hidden="1" customHeight="1" x14ac:dyDescent="0.35">
      <c r="C69" s="297" t="s">
        <v>99</v>
      </c>
      <c r="D69" s="294"/>
      <c r="E69" s="293"/>
      <c r="F69" s="292"/>
      <c r="G69" s="292"/>
      <c r="H69" s="292"/>
      <c r="I69" s="290"/>
      <c r="J69" s="290"/>
      <c r="K69" s="290"/>
      <c r="L69" s="296"/>
      <c r="M69" s="290"/>
      <c r="N69" s="295"/>
      <c r="O69" s="294"/>
      <c r="P69" s="293"/>
      <c r="Q69" s="292"/>
      <c r="R69" s="292"/>
      <c r="S69" s="292"/>
      <c r="T69" s="290"/>
      <c r="U69" s="290"/>
      <c r="V69" s="290"/>
      <c r="W69" s="291"/>
      <c r="X69" s="290"/>
      <c r="Y69" s="289"/>
      <c r="Z69" s="266"/>
      <c r="AA69" s="49">
        <f>+'[2]CDIS Table-4'!O66</f>
        <v>0</v>
      </c>
      <c r="AB69" s="52">
        <f t="shared" si="46"/>
        <v>0</v>
      </c>
      <c r="AC69" s="52">
        <f t="shared" si="49"/>
        <v>0</v>
      </c>
      <c r="AD69" s="52">
        <f t="shared" si="47"/>
        <v>0</v>
      </c>
      <c r="AE69" s="52">
        <f t="shared" si="50"/>
        <v>0</v>
      </c>
      <c r="AF69" s="52"/>
      <c r="AG69" s="49">
        <f t="shared" si="42"/>
        <v>0</v>
      </c>
      <c r="AH69" s="52">
        <f t="shared" si="39"/>
        <v>0</v>
      </c>
      <c r="AI69" s="52">
        <f t="shared" si="51"/>
        <v>0</v>
      </c>
      <c r="AJ69" s="52">
        <f t="shared" si="43"/>
        <v>0</v>
      </c>
      <c r="AK69" s="52">
        <f t="shared" si="29"/>
        <v>0</v>
      </c>
      <c r="AL69" s="52"/>
      <c r="AM69" s="49">
        <f>+'[2]CDIS Table-4'!U66</f>
        <v>0</v>
      </c>
      <c r="AN69" s="52">
        <f t="shared" si="40"/>
        <v>0</v>
      </c>
      <c r="AO69" s="52">
        <f t="shared" si="52"/>
        <v>0</v>
      </c>
      <c r="AP69" s="52">
        <f t="shared" si="41"/>
        <v>0</v>
      </c>
      <c r="AQ69" s="52">
        <f t="shared" si="53"/>
        <v>0</v>
      </c>
      <c r="AR69" s="52">
        <f t="shared" si="44"/>
        <v>0</v>
      </c>
      <c r="AS69" s="52">
        <f t="shared" si="30"/>
        <v>0</v>
      </c>
      <c r="AT69" s="52">
        <f t="shared" si="48"/>
        <v>0</v>
      </c>
      <c r="AU69" s="52">
        <f t="shared" si="45"/>
        <v>0</v>
      </c>
    </row>
    <row r="70" spans="3:47" ht="14" hidden="1" customHeight="1" x14ac:dyDescent="0.35">
      <c r="C70" s="297" t="s">
        <v>332</v>
      </c>
      <c r="D70" s="294"/>
      <c r="E70" s="293"/>
      <c r="F70" s="292"/>
      <c r="G70" s="292"/>
      <c r="H70" s="292"/>
      <c r="I70" s="290"/>
      <c r="J70" s="290"/>
      <c r="K70" s="290"/>
      <c r="L70" s="296"/>
      <c r="M70" s="290"/>
      <c r="N70" s="295"/>
      <c r="O70" s="294"/>
      <c r="P70" s="293"/>
      <c r="Q70" s="292"/>
      <c r="R70" s="292"/>
      <c r="S70" s="292"/>
      <c r="T70" s="290"/>
      <c r="U70" s="290"/>
      <c r="V70" s="290"/>
      <c r="W70" s="291"/>
      <c r="X70" s="290"/>
      <c r="Y70" s="289"/>
      <c r="Z70" s="266"/>
      <c r="AA70" s="49">
        <f>+'[2]CDIS Table-4'!O67</f>
        <v>0</v>
      </c>
      <c r="AB70" s="52">
        <f t="shared" si="46"/>
        <v>0</v>
      </c>
      <c r="AC70" s="52">
        <f t="shared" si="49"/>
        <v>0</v>
      </c>
      <c r="AD70" s="52">
        <f t="shared" si="47"/>
        <v>0</v>
      </c>
      <c r="AE70" s="52">
        <f t="shared" si="50"/>
        <v>0</v>
      </c>
      <c r="AF70" s="52"/>
      <c r="AG70" s="49">
        <f t="shared" si="42"/>
        <v>0</v>
      </c>
      <c r="AH70" s="52">
        <f t="shared" si="39"/>
        <v>0</v>
      </c>
      <c r="AI70" s="52">
        <f t="shared" si="51"/>
        <v>0</v>
      </c>
      <c r="AJ70" s="52">
        <f t="shared" si="43"/>
        <v>0</v>
      </c>
      <c r="AK70" s="52">
        <f t="shared" si="29"/>
        <v>0</v>
      </c>
      <c r="AL70" s="52"/>
      <c r="AM70" s="49">
        <f>+'[2]CDIS Table-4'!U67</f>
        <v>0</v>
      </c>
      <c r="AN70" s="52">
        <f t="shared" si="40"/>
        <v>0</v>
      </c>
      <c r="AO70" s="52">
        <f t="shared" si="52"/>
        <v>0</v>
      </c>
      <c r="AP70" s="52">
        <f t="shared" si="41"/>
        <v>0</v>
      </c>
      <c r="AQ70" s="52">
        <f t="shared" si="53"/>
        <v>0</v>
      </c>
      <c r="AR70" s="52">
        <f t="shared" si="44"/>
        <v>0</v>
      </c>
      <c r="AS70" s="52">
        <f t="shared" si="30"/>
        <v>0</v>
      </c>
      <c r="AT70" s="52">
        <f t="shared" si="48"/>
        <v>0</v>
      </c>
      <c r="AU70" s="52">
        <f t="shared" si="45"/>
        <v>0</v>
      </c>
    </row>
    <row r="71" spans="3:47" ht="14" hidden="1" customHeight="1" x14ac:dyDescent="0.35">
      <c r="C71" s="297" t="s">
        <v>328</v>
      </c>
      <c r="D71" s="294"/>
      <c r="E71" s="293"/>
      <c r="F71" s="292"/>
      <c r="G71" s="292"/>
      <c r="H71" s="292"/>
      <c r="I71" s="290"/>
      <c r="J71" s="290"/>
      <c r="K71" s="290"/>
      <c r="L71" s="296"/>
      <c r="M71" s="290"/>
      <c r="N71" s="295"/>
      <c r="O71" s="294"/>
      <c r="P71" s="293"/>
      <c r="Q71" s="292"/>
      <c r="R71" s="292"/>
      <c r="S71" s="292"/>
      <c r="T71" s="290"/>
      <c r="U71" s="290"/>
      <c r="V71" s="290"/>
      <c r="W71" s="291"/>
      <c r="X71" s="290"/>
      <c r="Y71" s="289"/>
      <c r="Z71" s="266"/>
      <c r="AA71" s="49">
        <f>+'[2]CDIS Table-4'!O68</f>
        <v>0</v>
      </c>
      <c r="AB71" s="52">
        <f t="shared" si="46"/>
        <v>0</v>
      </c>
      <c r="AC71" s="52">
        <f t="shared" si="49"/>
        <v>0</v>
      </c>
      <c r="AD71" s="52">
        <f t="shared" si="47"/>
        <v>0</v>
      </c>
      <c r="AE71" s="52">
        <f t="shared" si="50"/>
        <v>0</v>
      </c>
      <c r="AF71" s="52"/>
      <c r="AG71" s="49">
        <f t="shared" si="42"/>
        <v>0</v>
      </c>
      <c r="AH71" s="52">
        <f t="shared" si="39"/>
        <v>0</v>
      </c>
      <c r="AI71" s="52">
        <f t="shared" si="51"/>
        <v>0</v>
      </c>
      <c r="AJ71" s="52">
        <f t="shared" si="43"/>
        <v>0</v>
      </c>
      <c r="AK71" s="52">
        <f t="shared" si="29"/>
        <v>0</v>
      </c>
      <c r="AL71" s="52"/>
      <c r="AM71" s="49">
        <f>+'[2]CDIS Table-4'!U68</f>
        <v>0</v>
      </c>
      <c r="AN71" s="52">
        <f t="shared" si="40"/>
        <v>0</v>
      </c>
      <c r="AO71" s="52">
        <f t="shared" si="52"/>
        <v>0</v>
      </c>
      <c r="AP71" s="52">
        <f t="shared" si="41"/>
        <v>0</v>
      </c>
      <c r="AQ71" s="52">
        <f t="shared" si="53"/>
        <v>0</v>
      </c>
      <c r="AR71" s="52">
        <f t="shared" si="44"/>
        <v>0</v>
      </c>
      <c r="AS71" s="52">
        <f t="shared" si="30"/>
        <v>0</v>
      </c>
      <c r="AT71" s="52">
        <f t="shared" si="48"/>
        <v>0</v>
      </c>
      <c r="AU71" s="52">
        <f t="shared" si="45"/>
        <v>0</v>
      </c>
    </row>
    <row r="72" spans="3:47" ht="14" hidden="1" customHeight="1" x14ac:dyDescent="0.35">
      <c r="C72" s="297" t="s">
        <v>103</v>
      </c>
      <c r="D72" s="294"/>
      <c r="E72" s="293"/>
      <c r="F72" s="292"/>
      <c r="G72" s="292"/>
      <c r="H72" s="292"/>
      <c r="I72" s="290"/>
      <c r="J72" s="290"/>
      <c r="K72" s="290"/>
      <c r="L72" s="296"/>
      <c r="M72" s="290"/>
      <c r="N72" s="295"/>
      <c r="O72" s="294"/>
      <c r="P72" s="293"/>
      <c r="Q72" s="292"/>
      <c r="R72" s="292"/>
      <c r="S72" s="292"/>
      <c r="T72" s="290"/>
      <c r="U72" s="290"/>
      <c r="V72" s="290"/>
      <c r="W72" s="291"/>
      <c r="X72" s="290"/>
      <c r="Y72" s="289"/>
      <c r="Z72" s="266"/>
      <c r="AA72" s="49">
        <f>+'[2]CDIS Table-4'!O69</f>
        <v>0</v>
      </c>
      <c r="AB72" s="52">
        <f t="shared" si="46"/>
        <v>0</v>
      </c>
      <c r="AC72" s="52">
        <f t="shared" si="49"/>
        <v>0</v>
      </c>
      <c r="AD72" s="52">
        <f t="shared" si="47"/>
        <v>0</v>
      </c>
      <c r="AE72" s="52">
        <f t="shared" si="50"/>
        <v>0</v>
      </c>
      <c r="AF72" s="52"/>
      <c r="AG72" s="49">
        <f t="shared" si="42"/>
        <v>0</v>
      </c>
      <c r="AH72" s="52">
        <f t="shared" si="39"/>
        <v>0</v>
      </c>
      <c r="AI72" s="52">
        <f t="shared" si="51"/>
        <v>0</v>
      </c>
      <c r="AJ72" s="52">
        <f t="shared" si="43"/>
        <v>0</v>
      </c>
      <c r="AK72" s="52">
        <f t="shared" si="29"/>
        <v>0</v>
      </c>
      <c r="AL72" s="52"/>
      <c r="AM72" s="49">
        <f>+'[2]CDIS Table-4'!U69</f>
        <v>0</v>
      </c>
      <c r="AN72" s="52">
        <f t="shared" si="40"/>
        <v>0</v>
      </c>
      <c r="AO72" s="52">
        <f t="shared" si="52"/>
        <v>0</v>
      </c>
      <c r="AP72" s="52">
        <f t="shared" si="41"/>
        <v>0</v>
      </c>
      <c r="AQ72" s="52">
        <f t="shared" si="53"/>
        <v>0</v>
      </c>
      <c r="AR72" s="52">
        <f t="shared" si="44"/>
        <v>0</v>
      </c>
      <c r="AS72" s="52">
        <f t="shared" si="30"/>
        <v>0</v>
      </c>
      <c r="AT72" s="52">
        <f t="shared" si="48"/>
        <v>0</v>
      </c>
      <c r="AU72" s="52">
        <f t="shared" si="45"/>
        <v>0</v>
      </c>
    </row>
    <row r="73" spans="3:47" ht="14" hidden="1" customHeight="1" x14ac:dyDescent="0.35">
      <c r="C73" s="297" t="s">
        <v>104</v>
      </c>
      <c r="D73" s="294"/>
      <c r="E73" s="293"/>
      <c r="F73" s="292"/>
      <c r="G73" s="292"/>
      <c r="H73" s="292"/>
      <c r="I73" s="290"/>
      <c r="J73" s="290"/>
      <c r="K73" s="290"/>
      <c r="L73" s="296"/>
      <c r="M73" s="290"/>
      <c r="N73" s="295"/>
      <c r="O73" s="294"/>
      <c r="P73" s="293"/>
      <c r="Q73" s="292"/>
      <c r="R73" s="292"/>
      <c r="S73" s="292"/>
      <c r="T73" s="290"/>
      <c r="U73" s="290"/>
      <c r="V73" s="290"/>
      <c r="W73" s="291"/>
      <c r="X73" s="290"/>
      <c r="Y73" s="289"/>
      <c r="Z73" s="266"/>
      <c r="AA73" s="49">
        <f>+'[2]CDIS Table-4'!O70</f>
        <v>6.1404860170618039E-5</v>
      </c>
      <c r="AB73" s="52">
        <f t="shared" si="46"/>
        <v>6.1404860170618039E-5</v>
      </c>
      <c r="AC73" s="52">
        <f t="shared" si="49"/>
        <v>1.2226401933377343E-4</v>
      </c>
      <c r="AD73" s="52">
        <f t="shared" si="47"/>
        <v>6.1404860170618039E-5</v>
      </c>
      <c r="AE73" s="52">
        <f t="shared" si="50"/>
        <v>1.5527516008265879E-4</v>
      </c>
      <c r="AF73" s="52"/>
      <c r="AG73" s="49">
        <f t="shared" si="42"/>
        <v>6.1404860170618039E-5</v>
      </c>
      <c r="AH73" s="52">
        <f t="shared" si="39"/>
        <v>6.1404860170618039E-5</v>
      </c>
      <c r="AI73" s="52">
        <f t="shared" si="51"/>
        <v>1.2226401933377343E-4</v>
      </c>
      <c r="AJ73" s="52">
        <f t="shared" si="43"/>
        <v>6.1404860170618039E-5</v>
      </c>
      <c r="AK73" s="52">
        <f t="shared" ref="AK73:AK88" si="54">+AJ73/$AJ$102</f>
        <v>4.0470221477276045E-4</v>
      </c>
      <c r="AL73" s="52"/>
      <c r="AM73" s="49">
        <f>+'[2]CDIS Table-4'!U70</f>
        <v>0</v>
      </c>
      <c r="AN73" s="52">
        <f t="shared" si="40"/>
        <v>0</v>
      </c>
      <c r="AO73" s="52">
        <f t="shared" si="52"/>
        <v>0</v>
      </c>
      <c r="AP73" s="52">
        <f t="shared" si="41"/>
        <v>0</v>
      </c>
      <c r="AQ73" s="52">
        <f t="shared" si="53"/>
        <v>0</v>
      </c>
      <c r="AR73" s="52">
        <f t="shared" si="44"/>
        <v>0</v>
      </c>
      <c r="AS73" s="52">
        <f t="shared" ref="AS73:AS88" si="55">+AR73/$AR$102</f>
        <v>0</v>
      </c>
      <c r="AT73" s="52">
        <f t="shared" si="48"/>
        <v>0</v>
      </c>
      <c r="AU73" s="52">
        <f t="shared" si="45"/>
        <v>0</v>
      </c>
    </row>
    <row r="74" spans="3:47" ht="14" hidden="1" customHeight="1" x14ac:dyDescent="0.35">
      <c r="C74" s="297" t="s">
        <v>105</v>
      </c>
      <c r="D74" s="294"/>
      <c r="E74" s="293"/>
      <c r="F74" s="292"/>
      <c r="G74" s="292"/>
      <c r="H74" s="292"/>
      <c r="I74" s="290"/>
      <c r="J74" s="290"/>
      <c r="K74" s="290"/>
      <c r="L74" s="296"/>
      <c r="M74" s="290"/>
      <c r="N74" s="295"/>
      <c r="O74" s="294"/>
      <c r="P74" s="293"/>
      <c r="Q74" s="292"/>
      <c r="R74" s="292"/>
      <c r="S74" s="292"/>
      <c r="T74" s="290"/>
      <c r="U74" s="290"/>
      <c r="V74" s="290"/>
      <c r="W74" s="291"/>
      <c r="X74" s="290"/>
      <c r="Y74" s="289"/>
      <c r="Z74" s="266"/>
      <c r="AA74" s="49">
        <f>+'[2]CDIS Table-4'!O71</f>
        <v>0</v>
      </c>
      <c r="AB74" s="52">
        <f t="shared" si="46"/>
        <v>0</v>
      </c>
      <c r="AC74" s="52">
        <f t="shared" si="49"/>
        <v>0</v>
      </c>
      <c r="AD74" s="52">
        <f t="shared" si="47"/>
        <v>0</v>
      </c>
      <c r="AE74" s="52">
        <f t="shared" si="50"/>
        <v>0</v>
      </c>
      <c r="AF74" s="52"/>
      <c r="AG74" s="49">
        <f t="shared" si="42"/>
        <v>0</v>
      </c>
      <c r="AH74" s="52">
        <f t="shared" si="39"/>
        <v>0</v>
      </c>
      <c r="AI74" s="52">
        <f t="shared" si="51"/>
        <v>0</v>
      </c>
      <c r="AJ74" s="52">
        <f t="shared" si="43"/>
        <v>0</v>
      </c>
      <c r="AK74" s="52">
        <f t="shared" si="54"/>
        <v>0</v>
      </c>
      <c r="AL74" s="52"/>
      <c r="AM74" s="49">
        <f>+'[2]CDIS Table-4'!U71</f>
        <v>0</v>
      </c>
      <c r="AN74" s="52">
        <f t="shared" si="40"/>
        <v>0</v>
      </c>
      <c r="AO74" s="52">
        <f t="shared" si="52"/>
        <v>0</v>
      </c>
      <c r="AP74" s="52">
        <f t="shared" si="41"/>
        <v>0</v>
      </c>
      <c r="AQ74" s="52">
        <f t="shared" si="53"/>
        <v>0</v>
      </c>
      <c r="AR74" s="52">
        <f t="shared" si="44"/>
        <v>0</v>
      </c>
      <c r="AS74" s="52">
        <f t="shared" si="55"/>
        <v>0</v>
      </c>
      <c r="AT74" s="52">
        <f t="shared" si="48"/>
        <v>0</v>
      </c>
      <c r="AU74" s="52">
        <f t="shared" si="45"/>
        <v>0</v>
      </c>
    </row>
    <row r="75" spans="3:47" ht="14" hidden="1" customHeight="1" x14ac:dyDescent="0.35">
      <c r="C75" s="297" t="s">
        <v>108</v>
      </c>
      <c r="D75" s="294"/>
      <c r="E75" s="293"/>
      <c r="F75" s="292"/>
      <c r="G75" s="292"/>
      <c r="H75" s="292"/>
      <c r="I75" s="290"/>
      <c r="J75" s="290"/>
      <c r="K75" s="290"/>
      <c r="L75" s="296"/>
      <c r="M75" s="290"/>
      <c r="N75" s="295"/>
      <c r="O75" s="294"/>
      <c r="P75" s="293"/>
      <c r="Q75" s="292"/>
      <c r="R75" s="292"/>
      <c r="S75" s="292"/>
      <c r="T75" s="290"/>
      <c r="U75" s="290"/>
      <c r="V75" s="290"/>
      <c r="W75" s="291"/>
      <c r="X75" s="290"/>
      <c r="Y75" s="289"/>
      <c r="Z75" s="266"/>
      <c r="AA75" s="49">
        <f>+'[2]CDIS Table-4'!O72</f>
        <v>0</v>
      </c>
      <c r="AB75" s="52">
        <f t="shared" si="46"/>
        <v>0</v>
      </c>
      <c r="AC75" s="52">
        <f t="shared" si="49"/>
        <v>0</v>
      </c>
      <c r="AD75" s="52">
        <f t="shared" si="47"/>
        <v>0</v>
      </c>
      <c r="AE75" s="52">
        <f t="shared" si="50"/>
        <v>0</v>
      </c>
      <c r="AF75" s="52"/>
      <c r="AG75" s="49">
        <f t="shared" si="42"/>
        <v>0</v>
      </c>
      <c r="AH75" s="52">
        <f t="shared" si="39"/>
        <v>0</v>
      </c>
      <c r="AI75" s="52">
        <f t="shared" si="51"/>
        <v>0</v>
      </c>
      <c r="AJ75" s="52">
        <f t="shared" si="43"/>
        <v>0</v>
      </c>
      <c r="AK75" s="52">
        <f t="shared" si="54"/>
        <v>0</v>
      </c>
      <c r="AL75" s="52"/>
      <c r="AM75" s="49">
        <f>+'[2]CDIS Table-4'!U72</f>
        <v>0</v>
      </c>
      <c r="AN75" s="52">
        <f t="shared" si="40"/>
        <v>0</v>
      </c>
      <c r="AO75" s="52">
        <f t="shared" si="52"/>
        <v>0</v>
      </c>
      <c r="AP75" s="52">
        <f t="shared" si="41"/>
        <v>0</v>
      </c>
      <c r="AQ75" s="52">
        <f t="shared" si="53"/>
        <v>0</v>
      </c>
      <c r="AR75" s="52">
        <f t="shared" si="44"/>
        <v>0</v>
      </c>
      <c r="AS75" s="52">
        <f t="shared" si="55"/>
        <v>0</v>
      </c>
      <c r="AT75" s="52">
        <f t="shared" si="48"/>
        <v>0</v>
      </c>
      <c r="AU75" s="52">
        <f t="shared" si="45"/>
        <v>0</v>
      </c>
    </row>
    <row r="76" spans="3:47" ht="14" hidden="1" customHeight="1" x14ac:dyDescent="0.35">
      <c r="C76" s="297" t="s">
        <v>109</v>
      </c>
      <c r="D76" s="294"/>
      <c r="E76" s="293"/>
      <c r="F76" s="292"/>
      <c r="G76" s="292"/>
      <c r="H76" s="292"/>
      <c r="I76" s="290"/>
      <c r="J76" s="290"/>
      <c r="K76" s="290"/>
      <c r="L76" s="296"/>
      <c r="M76" s="290"/>
      <c r="N76" s="299"/>
      <c r="O76" s="294"/>
      <c r="P76" s="293"/>
      <c r="Q76" s="292"/>
      <c r="R76" s="292"/>
      <c r="S76" s="292"/>
      <c r="T76" s="290"/>
      <c r="U76" s="290"/>
      <c r="V76" s="290"/>
      <c r="W76" s="291"/>
      <c r="X76" s="290"/>
      <c r="Y76" s="298"/>
      <c r="Z76" s="266"/>
      <c r="AA76" s="49">
        <f>+'[2]CDIS Table-4'!O73</f>
        <v>5.7392741433931783E-3</v>
      </c>
      <c r="AB76" s="52">
        <f t="shared" si="46"/>
        <v>5.7392741433931783E-3</v>
      </c>
      <c r="AC76" s="52">
        <f t="shared" si="49"/>
        <v>1.1427543729924706E-2</v>
      </c>
      <c r="AD76" s="52">
        <f t="shared" si="47"/>
        <v>5.7392741433931783E-3</v>
      </c>
      <c r="AE76" s="52">
        <f t="shared" si="50"/>
        <v>1.4512967033838465E-2</v>
      </c>
      <c r="AF76" s="52"/>
      <c r="AG76" s="49">
        <f t="shared" si="42"/>
        <v>5.7392741433931783E-3</v>
      </c>
      <c r="AH76" s="52">
        <f t="shared" si="39"/>
        <v>5.7392741433931783E-3</v>
      </c>
      <c r="AI76" s="52">
        <f t="shared" si="51"/>
        <v>1.1427543729924706E-2</v>
      </c>
      <c r="AJ76" s="52">
        <f t="shared" si="43"/>
        <v>5.7392741433931783E-3</v>
      </c>
      <c r="AK76" s="52">
        <f t="shared" si="54"/>
        <v>3.7825946522237301E-2</v>
      </c>
      <c r="AL76" s="52"/>
      <c r="AM76" s="49">
        <f>+'[2]CDIS Table-4'!U73</f>
        <v>0</v>
      </c>
      <c r="AN76" s="52">
        <f t="shared" si="40"/>
        <v>0</v>
      </c>
      <c r="AO76" s="52">
        <f t="shared" si="52"/>
        <v>0</v>
      </c>
      <c r="AP76" s="52">
        <f t="shared" si="41"/>
        <v>0</v>
      </c>
      <c r="AQ76" s="52">
        <f t="shared" si="53"/>
        <v>0</v>
      </c>
      <c r="AR76" s="52">
        <f t="shared" si="44"/>
        <v>0</v>
      </c>
      <c r="AS76" s="52">
        <f t="shared" si="55"/>
        <v>0</v>
      </c>
      <c r="AT76" s="52">
        <f t="shared" si="48"/>
        <v>0</v>
      </c>
      <c r="AU76" s="52">
        <f t="shared" si="45"/>
        <v>0</v>
      </c>
    </row>
    <row r="77" spans="3:47" ht="14" hidden="1" customHeight="1" x14ac:dyDescent="0.35">
      <c r="C77" s="297" t="s">
        <v>110</v>
      </c>
      <c r="D77" s="294"/>
      <c r="E77" s="293"/>
      <c r="F77" s="292"/>
      <c r="G77" s="292"/>
      <c r="H77" s="292"/>
      <c r="I77" s="290"/>
      <c r="J77" s="290"/>
      <c r="K77" s="290"/>
      <c r="L77" s="296"/>
      <c r="M77" s="290"/>
      <c r="N77" s="295"/>
      <c r="O77" s="294"/>
      <c r="P77" s="293"/>
      <c r="Q77" s="292"/>
      <c r="R77" s="292"/>
      <c r="S77" s="292"/>
      <c r="T77" s="290"/>
      <c r="U77" s="290"/>
      <c r="V77" s="290"/>
      <c r="W77" s="291"/>
      <c r="X77" s="290"/>
      <c r="Y77" s="289"/>
      <c r="Z77" s="266"/>
      <c r="AA77" s="49">
        <f>+'[2]CDIS Table-4'!O74</f>
        <v>0</v>
      </c>
      <c r="AB77" s="52">
        <f t="shared" si="46"/>
        <v>0</v>
      </c>
      <c r="AC77" s="52">
        <f t="shared" si="49"/>
        <v>0</v>
      </c>
      <c r="AD77" s="52">
        <f t="shared" si="47"/>
        <v>0</v>
      </c>
      <c r="AE77" s="52">
        <f t="shared" si="50"/>
        <v>0</v>
      </c>
      <c r="AF77" s="52"/>
      <c r="AG77" s="49">
        <f t="shared" si="42"/>
        <v>0</v>
      </c>
      <c r="AH77" s="52">
        <f t="shared" si="39"/>
        <v>0</v>
      </c>
      <c r="AI77" s="52">
        <f t="shared" si="51"/>
        <v>0</v>
      </c>
      <c r="AJ77" s="52">
        <f t="shared" si="43"/>
        <v>0</v>
      </c>
      <c r="AK77" s="52">
        <f t="shared" si="54"/>
        <v>0</v>
      </c>
      <c r="AL77" s="52"/>
      <c r="AM77" s="49">
        <f>+'[2]CDIS Table-4'!U74</f>
        <v>0</v>
      </c>
      <c r="AN77" s="52">
        <f t="shared" si="40"/>
        <v>0</v>
      </c>
      <c r="AO77" s="52">
        <f t="shared" si="52"/>
        <v>0</v>
      </c>
      <c r="AP77" s="52">
        <f t="shared" si="41"/>
        <v>0</v>
      </c>
      <c r="AQ77" s="52">
        <f t="shared" si="53"/>
        <v>0</v>
      </c>
      <c r="AR77" s="52">
        <f t="shared" si="44"/>
        <v>0</v>
      </c>
      <c r="AS77" s="52">
        <f t="shared" si="55"/>
        <v>0</v>
      </c>
      <c r="AT77" s="52">
        <f t="shared" si="48"/>
        <v>0</v>
      </c>
      <c r="AU77" s="52">
        <f t="shared" si="45"/>
        <v>0</v>
      </c>
    </row>
    <row r="78" spans="3:47" ht="14" hidden="1" customHeight="1" x14ac:dyDescent="0.35">
      <c r="C78" s="297" t="str">
        <f>+[3]TableA1!A79</f>
        <v>Monaco</v>
      </c>
      <c r="D78" s="294"/>
      <c r="E78" s="293"/>
      <c r="F78" s="292"/>
      <c r="G78" s="292"/>
      <c r="H78" s="292"/>
      <c r="I78" s="290"/>
      <c r="J78" s="290"/>
      <c r="K78" s="290"/>
      <c r="L78" s="296"/>
      <c r="M78" s="290"/>
      <c r="N78" s="295"/>
      <c r="O78" s="294"/>
      <c r="P78" s="293"/>
      <c r="Q78" s="292"/>
      <c r="R78" s="292"/>
      <c r="S78" s="292"/>
      <c r="T78" s="290"/>
      <c r="U78" s="290"/>
      <c r="V78" s="290"/>
      <c r="W78" s="291"/>
      <c r="X78" s="290"/>
      <c r="Y78" s="289"/>
      <c r="Z78" s="266"/>
      <c r="AA78" s="49">
        <f>+'[2]CDIS Table-4'!O75</f>
        <v>0</v>
      </c>
      <c r="AB78" s="52">
        <f t="shared" si="46"/>
        <v>0</v>
      </c>
      <c r="AC78" s="52">
        <f t="shared" si="49"/>
        <v>0</v>
      </c>
      <c r="AD78" s="52">
        <f t="shared" si="47"/>
        <v>0</v>
      </c>
      <c r="AE78" s="52">
        <f t="shared" si="50"/>
        <v>0</v>
      </c>
      <c r="AF78" s="52"/>
      <c r="AG78" s="49">
        <f t="shared" si="42"/>
        <v>0</v>
      </c>
      <c r="AH78" s="52">
        <f t="shared" si="39"/>
        <v>0</v>
      </c>
      <c r="AI78" s="52">
        <f t="shared" si="51"/>
        <v>0</v>
      </c>
      <c r="AJ78" s="52">
        <f t="shared" si="43"/>
        <v>0</v>
      </c>
      <c r="AK78" s="52">
        <f t="shared" si="54"/>
        <v>0</v>
      </c>
      <c r="AL78" s="52"/>
      <c r="AM78" s="49">
        <f>+'[2]CDIS Table-4'!U75</f>
        <v>0</v>
      </c>
      <c r="AN78" s="52">
        <f t="shared" si="40"/>
        <v>0</v>
      </c>
      <c r="AO78" s="52">
        <f t="shared" si="52"/>
        <v>0</v>
      </c>
      <c r="AP78" s="52">
        <f t="shared" si="41"/>
        <v>0</v>
      </c>
      <c r="AQ78" s="52">
        <f t="shared" si="53"/>
        <v>0</v>
      </c>
      <c r="AR78" s="52">
        <f t="shared" si="44"/>
        <v>0</v>
      </c>
      <c r="AS78" s="52">
        <f t="shared" si="55"/>
        <v>0</v>
      </c>
      <c r="AT78" s="52">
        <f t="shared" si="48"/>
        <v>0</v>
      </c>
      <c r="AU78" s="52">
        <f t="shared" si="45"/>
        <v>0</v>
      </c>
    </row>
    <row r="79" spans="3:47" ht="14" hidden="1" customHeight="1" x14ac:dyDescent="0.35">
      <c r="C79" s="297" t="s">
        <v>113</v>
      </c>
      <c r="D79" s="294"/>
      <c r="E79" s="293"/>
      <c r="F79" s="292"/>
      <c r="G79" s="292"/>
      <c r="H79" s="292"/>
      <c r="I79" s="290"/>
      <c r="J79" s="290"/>
      <c r="K79" s="290"/>
      <c r="L79" s="296"/>
      <c r="M79" s="290"/>
      <c r="N79" s="295"/>
      <c r="O79" s="294"/>
      <c r="P79" s="293"/>
      <c r="Q79" s="292"/>
      <c r="R79" s="292"/>
      <c r="S79" s="292"/>
      <c r="T79" s="290"/>
      <c r="U79" s="290"/>
      <c r="V79" s="290"/>
      <c r="W79" s="291"/>
      <c r="X79" s="290"/>
      <c r="Y79" s="289"/>
      <c r="Z79" s="266"/>
      <c r="AA79" s="49">
        <f>+'[2]CDIS Table-4'!O76</f>
        <v>0</v>
      </c>
      <c r="AB79" s="52">
        <f t="shared" si="46"/>
        <v>0</v>
      </c>
      <c r="AC79" s="52">
        <f t="shared" si="49"/>
        <v>0</v>
      </c>
      <c r="AD79" s="52">
        <f t="shared" si="47"/>
        <v>0</v>
      </c>
      <c r="AE79" s="52">
        <f t="shared" si="50"/>
        <v>0</v>
      </c>
      <c r="AF79" s="52"/>
      <c r="AG79" s="49">
        <f t="shared" si="42"/>
        <v>0</v>
      </c>
      <c r="AH79" s="52">
        <f t="shared" si="39"/>
        <v>0</v>
      </c>
      <c r="AI79" s="52">
        <f t="shared" si="51"/>
        <v>0</v>
      </c>
      <c r="AJ79" s="52">
        <f t="shared" si="43"/>
        <v>0</v>
      </c>
      <c r="AK79" s="52">
        <f t="shared" si="54"/>
        <v>0</v>
      </c>
      <c r="AL79" s="52"/>
      <c r="AM79" s="49">
        <f>+'[2]CDIS Table-4'!U76</f>
        <v>0</v>
      </c>
      <c r="AN79" s="52">
        <f t="shared" si="40"/>
        <v>0</v>
      </c>
      <c r="AO79" s="52">
        <f t="shared" si="52"/>
        <v>0</v>
      </c>
      <c r="AP79" s="52">
        <f t="shared" si="41"/>
        <v>0</v>
      </c>
      <c r="AQ79" s="52">
        <f t="shared" si="53"/>
        <v>0</v>
      </c>
      <c r="AR79" s="52">
        <f t="shared" si="44"/>
        <v>0</v>
      </c>
      <c r="AS79" s="52">
        <f t="shared" si="55"/>
        <v>0</v>
      </c>
      <c r="AT79" s="52">
        <f t="shared" si="48"/>
        <v>0</v>
      </c>
      <c r="AU79" s="52">
        <f t="shared" si="45"/>
        <v>0</v>
      </c>
    </row>
    <row r="80" spans="3:47" ht="14" hidden="1" customHeight="1" x14ac:dyDescent="0.35">
      <c r="C80" s="297" t="s">
        <v>114</v>
      </c>
      <c r="D80" s="294"/>
      <c r="E80" s="293"/>
      <c r="F80" s="292"/>
      <c r="G80" s="292"/>
      <c r="H80" s="292"/>
      <c r="I80" s="290"/>
      <c r="J80" s="290"/>
      <c r="K80" s="290"/>
      <c r="L80" s="296"/>
      <c r="M80" s="290"/>
      <c r="N80" s="295"/>
      <c r="O80" s="294"/>
      <c r="P80" s="293"/>
      <c r="Q80" s="292"/>
      <c r="R80" s="292"/>
      <c r="S80" s="292"/>
      <c r="T80" s="290"/>
      <c r="U80" s="290"/>
      <c r="V80" s="290"/>
      <c r="W80" s="291"/>
      <c r="X80" s="290"/>
      <c r="Y80" s="289"/>
      <c r="Z80" s="266"/>
      <c r="AA80" s="49">
        <f>+'[2]CDIS Table-4'!O77</f>
        <v>9.3447437214016892E-3</v>
      </c>
      <c r="AB80" s="52">
        <f t="shared" si="46"/>
        <v>9.3447437214016892E-3</v>
      </c>
      <c r="AC80" s="52">
        <f t="shared" si="49"/>
        <v>1.8606441311779222E-2</v>
      </c>
      <c r="AD80" s="52">
        <f t="shared" si="47"/>
        <v>9.3447437214016892E-3</v>
      </c>
      <c r="AE80" s="52">
        <f t="shared" si="50"/>
        <v>2.3630158479969444E-2</v>
      </c>
      <c r="AF80" s="52"/>
      <c r="AG80" s="49">
        <f>+'[2]CDIS Table-4'!U77</f>
        <v>0</v>
      </c>
      <c r="AH80" s="52">
        <f t="shared" si="39"/>
        <v>0</v>
      </c>
      <c r="AI80" s="52">
        <f t="shared" si="51"/>
        <v>0</v>
      </c>
      <c r="AJ80" s="52">
        <f t="shared" si="43"/>
        <v>0</v>
      </c>
      <c r="AK80" s="52">
        <f t="shared" si="54"/>
        <v>0</v>
      </c>
      <c r="AL80" s="52"/>
      <c r="AM80" s="49">
        <f>+'[2]CDIS Table-4'!U77</f>
        <v>0</v>
      </c>
      <c r="AN80" s="52">
        <f t="shared" si="40"/>
        <v>0</v>
      </c>
      <c r="AO80" s="52">
        <f t="shared" si="52"/>
        <v>0</v>
      </c>
      <c r="AP80" s="52">
        <f t="shared" si="41"/>
        <v>0</v>
      </c>
      <c r="AQ80" s="52">
        <f t="shared" si="53"/>
        <v>0</v>
      </c>
      <c r="AR80" s="52">
        <f t="shared" si="44"/>
        <v>0</v>
      </c>
      <c r="AS80" s="52">
        <f t="shared" si="55"/>
        <v>0</v>
      </c>
      <c r="AT80" s="52">
        <f t="shared" si="48"/>
        <v>0</v>
      </c>
      <c r="AU80" s="52">
        <f t="shared" si="45"/>
        <v>0</v>
      </c>
    </row>
    <row r="81" spans="3:47" ht="14" hidden="1" customHeight="1" x14ac:dyDescent="0.35">
      <c r="C81" s="297" t="str">
        <f>+[3]TableA1!A82</f>
        <v>Seychelles</v>
      </c>
      <c r="D81" s="294"/>
      <c r="E81" s="293"/>
      <c r="F81" s="292"/>
      <c r="G81" s="292"/>
      <c r="H81" s="292"/>
      <c r="I81" s="290"/>
      <c r="J81" s="290"/>
      <c r="K81" s="290"/>
      <c r="L81" s="296"/>
      <c r="M81" s="290"/>
      <c r="N81" s="295"/>
      <c r="O81" s="294"/>
      <c r="P81" s="293"/>
      <c r="Q81" s="292"/>
      <c r="R81" s="292"/>
      <c r="S81" s="292"/>
      <c r="T81" s="290"/>
      <c r="U81" s="290"/>
      <c r="V81" s="290"/>
      <c r="W81" s="291"/>
      <c r="X81" s="290"/>
      <c r="Y81" s="289"/>
      <c r="Z81" s="266"/>
      <c r="AA81" s="49">
        <f>+'[2]CDIS Table-4'!O78</f>
        <v>2.3627280581392267E-5</v>
      </c>
      <c r="AB81" s="52">
        <f t="shared" si="46"/>
        <v>2.3627280581392267E-5</v>
      </c>
      <c r="AC81" s="52">
        <f t="shared" si="49"/>
        <v>4.7044587053552091E-5</v>
      </c>
      <c r="AD81" s="52">
        <f t="shared" si="47"/>
        <v>2.3627280581392267E-5</v>
      </c>
      <c r="AE81" s="52">
        <f t="shared" si="50"/>
        <v>5.9746569968561721E-5</v>
      </c>
      <c r="AF81" s="52"/>
      <c r="AG81" s="49">
        <f>+'[2]CDIS Table-4'!U78</f>
        <v>0</v>
      </c>
      <c r="AH81" s="52">
        <f t="shared" si="39"/>
        <v>0</v>
      </c>
      <c r="AI81" s="52">
        <f t="shared" si="51"/>
        <v>0</v>
      </c>
      <c r="AJ81" s="52">
        <f t="shared" si="43"/>
        <v>0</v>
      </c>
      <c r="AK81" s="52">
        <f t="shared" si="54"/>
        <v>0</v>
      </c>
      <c r="AL81" s="52"/>
      <c r="AM81" s="49">
        <f>+'[2]CDIS Table-4'!U78</f>
        <v>0</v>
      </c>
      <c r="AN81" s="52">
        <f t="shared" si="40"/>
        <v>0</v>
      </c>
      <c r="AO81" s="52">
        <f t="shared" si="52"/>
        <v>0</v>
      </c>
      <c r="AP81" s="52">
        <f t="shared" si="41"/>
        <v>0</v>
      </c>
      <c r="AQ81" s="52">
        <f t="shared" si="53"/>
        <v>0</v>
      </c>
      <c r="AR81" s="52">
        <f t="shared" si="44"/>
        <v>0</v>
      </c>
      <c r="AS81" s="52">
        <f t="shared" si="55"/>
        <v>0</v>
      </c>
      <c r="AT81" s="52">
        <f t="shared" si="48"/>
        <v>0</v>
      </c>
      <c r="AU81" s="52">
        <f t="shared" si="45"/>
        <v>0</v>
      </c>
    </row>
    <row r="82" spans="3:47" hidden="1" x14ac:dyDescent="0.35">
      <c r="C82" s="297" t="s">
        <v>116</v>
      </c>
      <c r="D82" s="294"/>
      <c r="E82" s="293"/>
      <c r="F82" s="292"/>
      <c r="G82" s="292"/>
      <c r="H82" s="292"/>
      <c r="I82" s="290"/>
      <c r="J82" s="290"/>
      <c r="K82" s="290"/>
      <c r="L82" s="296"/>
      <c r="M82" s="290"/>
      <c r="N82" s="295"/>
      <c r="O82" s="294"/>
      <c r="P82" s="293"/>
      <c r="Q82" s="292"/>
      <c r="R82" s="292"/>
      <c r="S82" s="292"/>
      <c r="T82" s="290"/>
      <c r="U82" s="290"/>
      <c r="V82" s="290"/>
      <c r="W82" s="291"/>
      <c r="X82" s="290"/>
      <c r="Y82" s="289"/>
      <c r="Z82" s="266"/>
      <c r="AA82" s="49">
        <f>+'[2]CDIS Table-4'!O79</f>
        <v>3.3093466817703553E-2</v>
      </c>
      <c r="AB82" s="52">
        <f t="shared" si="46"/>
        <v>3.3093466817703553E-2</v>
      </c>
      <c r="AC82" s="52">
        <f t="shared" si="49"/>
        <v>6.5892834143401524E-2</v>
      </c>
      <c r="AD82" s="52">
        <f t="shared" si="47"/>
        <v>3.3093466817703553E-2</v>
      </c>
      <c r="AE82" s="52">
        <f t="shared" si="50"/>
        <v>8.3683821500954589E-2</v>
      </c>
      <c r="AF82" s="52"/>
      <c r="AG82" s="49">
        <f>+'[2]CDIS Table-4'!U79</f>
        <v>0</v>
      </c>
      <c r="AH82" s="52">
        <f t="shared" si="39"/>
        <v>0</v>
      </c>
      <c r="AI82" s="52">
        <f t="shared" si="51"/>
        <v>0</v>
      </c>
      <c r="AJ82" s="52">
        <f t="shared" si="43"/>
        <v>0</v>
      </c>
      <c r="AK82" s="52">
        <f t="shared" si="54"/>
        <v>0</v>
      </c>
      <c r="AL82" s="52"/>
      <c r="AM82" s="49">
        <f>+'[2]CDIS Table-4'!U79</f>
        <v>0</v>
      </c>
      <c r="AN82" s="52">
        <f t="shared" si="40"/>
        <v>0</v>
      </c>
      <c r="AO82" s="52">
        <f t="shared" si="52"/>
        <v>0</v>
      </c>
      <c r="AP82" s="52">
        <f t="shared" si="41"/>
        <v>0</v>
      </c>
      <c r="AQ82" s="52">
        <f t="shared" si="53"/>
        <v>0</v>
      </c>
      <c r="AR82" s="52">
        <f t="shared" si="44"/>
        <v>0</v>
      </c>
      <c r="AS82" s="52">
        <f t="shared" si="55"/>
        <v>0</v>
      </c>
      <c r="AT82" s="52">
        <f t="shared" si="48"/>
        <v>0</v>
      </c>
      <c r="AU82" s="52">
        <f t="shared" si="45"/>
        <v>0</v>
      </c>
    </row>
    <row r="83" spans="3:47" hidden="1" x14ac:dyDescent="0.35">
      <c r="C83" s="297" t="str">
        <f>+[3]TableA1!A84</f>
        <v>St. Kitts and Nevis</v>
      </c>
      <c r="D83" s="294"/>
      <c r="E83" s="293"/>
      <c r="F83" s="292"/>
      <c r="G83" s="292"/>
      <c r="H83" s="292"/>
      <c r="I83" s="290"/>
      <c r="J83" s="290"/>
      <c r="K83" s="290"/>
      <c r="L83" s="296"/>
      <c r="M83" s="290"/>
      <c r="N83" s="295"/>
      <c r="O83" s="294"/>
      <c r="P83" s="293"/>
      <c r="Q83" s="292"/>
      <c r="R83" s="292"/>
      <c r="S83" s="292"/>
      <c r="T83" s="290"/>
      <c r="U83" s="290"/>
      <c r="V83" s="290"/>
      <c r="W83" s="291"/>
      <c r="X83" s="290"/>
      <c r="Y83" s="289"/>
      <c r="Z83" s="266"/>
      <c r="AA83" s="49">
        <f>+'[2]CDIS Table-4'!O80</f>
        <v>0</v>
      </c>
      <c r="AB83" s="52">
        <f t="shared" si="46"/>
        <v>0</v>
      </c>
      <c r="AC83" s="52">
        <f t="shared" si="49"/>
        <v>0</v>
      </c>
      <c r="AD83" s="52">
        <f t="shared" si="47"/>
        <v>0</v>
      </c>
      <c r="AE83" s="52">
        <f t="shared" si="50"/>
        <v>0</v>
      </c>
      <c r="AF83" s="52"/>
      <c r="AG83" s="49">
        <f>+'[2]CDIS Table-4'!U80</f>
        <v>0</v>
      </c>
      <c r="AH83" s="52">
        <f t="shared" si="39"/>
        <v>0</v>
      </c>
      <c r="AI83" s="52">
        <f t="shared" si="51"/>
        <v>0</v>
      </c>
      <c r="AJ83" s="52">
        <f t="shared" si="43"/>
        <v>0</v>
      </c>
      <c r="AK83" s="52">
        <f t="shared" si="54"/>
        <v>0</v>
      </c>
      <c r="AL83" s="52"/>
      <c r="AM83" s="49">
        <f>+'[2]CDIS Table-4'!U80</f>
        <v>0</v>
      </c>
      <c r="AN83" s="52">
        <f t="shared" si="40"/>
        <v>0</v>
      </c>
      <c r="AO83" s="52">
        <f t="shared" si="52"/>
        <v>0</v>
      </c>
      <c r="AP83" s="52">
        <f t="shared" si="41"/>
        <v>0</v>
      </c>
      <c r="AQ83" s="52">
        <f t="shared" si="53"/>
        <v>0</v>
      </c>
      <c r="AR83" s="52">
        <f t="shared" si="44"/>
        <v>0</v>
      </c>
      <c r="AS83" s="52">
        <f t="shared" si="55"/>
        <v>0</v>
      </c>
      <c r="AT83" s="52">
        <f t="shared" si="48"/>
        <v>0</v>
      </c>
      <c r="AU83" s="52">
        <f t="shared" si="45"/>
        <v>0</v>
      </c>
    </row>
    <row r="84" spans="3:47" hidden="1" x14ac:dyDescent="0.35">
      <c r="C84" s="297" t="str">
        <f>+[3]TableA1!A85</f>
        <v>St. Lucia</v>
      </c>
      <c r="D84" s="294"/>
      <c r="E84" s="293"/>
      <c r="F84" s="292"/>
      <c r="G84" s="292"/>
      <c r="H84" s="292"/>
      <c r="I84" s="290"/>
      <c r="J84" s="290"/>
      <c r="K84" s="290"/>
      <c r="L84" s="296"/>
      <c r="M84" s="290"/>
      <c r="N84" s="295"/>
      <c r="O84" s="294"/>
      <c r="P84" s="293"/>
      <c r="Q84" s="292"/>
      <c r="R84" s="292"/>
      <c r="S84" s="292"/>
      <c r="T84" s="290"/>
      <c r="U84" s="290"/>
      <c r="V84" s="290"/>
      <c r="W84" s="291"/>
      <c r="X84" s="290"/>
      <c r="Y84" s="289"/>
      <c r="Z84" s="266"/>
      <c r="AA84" s="49">
        <f>+'[2]CDIS Table-4'!O81</f>
        <v>0</v>
      </c>
      <c r="AB84" s="52">
        <f t="shared" si="46"/>
        <v>0</v>
      </c>
      <c r="AC84" s="52">
        <f t="shared" si="49"/>
        <v>0</v>
      </c>
      <c r="AD84" s="52">
        <f t="shared" si="47"/>
        <v>0</v>
      </c>
      <c r="AE84" s="52">
        <f t="shared" si="50"/>
        <v>0</v>
      </c>
      <c r="AF84" s="52"/>
      <c r="AG84" s="49">
        <f>+'[2]CDIS Table-4'!U81</f>
        <v>0</v>
      </c>
      <c r="AH84" s="52">
        <f t="shared" si="39"/>
        <v>0</v>
      </c>
      <c r="AI84" s="52">
        <f t="shared" si="51"/>
        <v>0</v>
      </c>
      <c r="AJ84" s="52">
        <f t="shared" si="43"/>
        <v>0</v>
      </c>
      <c r="AK84" s="52">
        <f t="shared" si="54"/>
        <v>0</v>
      </c>
      <c r="AL84" s="52"/>
      <c r="AM84" s="49">
        <f>+'[2]CDIS Table-4'!U81</f>
        <v>0</v>
      </c>
      <c r="AN84" s="52">
        <f t="shared" si="40"/>
        <v>0</v>
      </c>
      <c r="AO84" s="52">
        <f t="shared" si="52"/>
        <v>0</v>
      </c>
      <c r="AP84" s="52">
        <f t="shared" si="41"/>
        <v>0</v>
      </c>
      <c r="AQ84" s="52">
        <f t="shared" si="53"/>
        <v>0</v>
      </c>
      <c r="AR84" s="52">
        <f t="shared" si="44"/>
        <v>0</v>
      </c>
      <c r="AS84" s="52">
        <f t="shared" si="55"/>
        <v>0</v>
      </c>
      <c r="AT84" s="52">
        <f t="shared" si="48"/>
        <v>0</v>
      </c>
      <c r="AU84" s="52">
        <f t="shared" si="45"/>
        <v>0</v>
      </c>
    </row>
    <row r="85" spans="3:47" hidden="1" x14ac:dyDescent="0.35">
      <c r="C85" s="297" t="str">
        <f>+[3]TableA1!A86</f>
        <v>St. Vincent and the Grenadines</v>
      </c>
      <c r="D85" s="294"/>
      <c r="E85" s="293"/>
      <c r="F85" s="292"/>
      <c r="G85" s="292"/>
      <c r="H85" s="292"/>
      <c r="I85" s="290"/>
      <c r="J85" s="290"/>
      <c r="K85" s="290"/>
      <c r="L85" s="296"/>
      <c r="M85" s="290"/>
      <c r="N85" s="295"/>
      <c r="O85" s="294"/>
      <c r="P85" s="293"/>
      <c r="Q85" s="292"/>
      <c r="R85" s="292"/>
      <c r="S85" s="292"/>
      <c r="T85" s="290"/>
      <c r="U85" s="290"/>
      <c r="V85" s="290"/>
      <c r="W85" s="291"/>
      <c r="X85" s="290"/>
      <c r="Y85" s="289"/>
      <c r="Z85" s="266"/>
      <c r="AA85" s="49">
        <f>+'[2]CDIS Table-4'!O82</f>
        <v>0</v>
      </c>
      <c r="AB85" s="52">
        <f t="shared" si="46"/>
        <v>0</v>
      </c>
      <c r="AC85" s="52">
        <f t="shared" si="49"/>
        <v>0</v>
      </c>
      <c r="AD85" s="52">
        <f t="shared" si="47"/>
        <v>0</v>
      </c>
      <c r="AE85" s="52">
        <f t="shared" si="50"/>
        <v>0</v>
      </c>
      <c r="AF85" s="52"/>
      <c r="AG85" s="49">
        <f>+'[2]CDIS Table-4'!U82</f>
        <v>0</v>
      </c>
      <c r="AH85" s="52">
        <f t="shared" si="39"/>
        <v>0</v>
      </c>
      <c r="AI85" s="52">
        <f t="shared" si="51"/>
        <v>0</v>
      </c>
      <c r="AJ85" s="52">
        <f t="shared" si="43"/>
        <v>0</v>
      </c>
      <c r="AK85" s="52">
        <f t="shared" si="54"/>
        <v>0</v>
      </c>
      <c r="AL85" s="52"/>
      <c r="AM85" s="49">
        <f>+'[2]CDIS Table-4'!U82</f>
        <v>0</v>
      </c>
      <c r="AN85" s="52">
        <f t="shared" si="40"/>
        <v>0</v>
      </c>
      <c r="AO85" s="52">
        <f t="shared" si="52"/>
        <v>0</v>
      </c>
      <c r="AP85" s="52">
        <f t="shared" si="41"/>
        <v>0</v>
      </c>
      <c r="AQ85" s="52">
        <f t="shared" si="53"/>
        <v>0</v>
      </c>
      <c r="AR85" s="52">
        <f t="shared" si="44"/>
        <v>0</v>
      </c>
      <c r="AS85" s="52">
        <f t="shared" si="55"/>
        <v>0</v>
      </c>
      <c r="AT85" s="52">
        <f t="shared" si="48"/>
        <v>0</v>
      </c>
      <c r="AU85" s="52">
        <f t="shared" si="45"/>
        <v>0</v>
      </c>
    </row>
    <row r="86" spans="3:47" hidden="1" x14ac:dyDescent="0.35">
      <c r="C86" s="297" t="str">
        <f>+[3]TableA1!A87</f>
        <v>Turks and Caicos</v>
      </c>
      <c r="D86" s="294"/>
      <c r="E86" s="293"/>
      <c r="F86" s="292"/>
      <c r="G86" s="292"/>
      <c r="H86" s="292"/>
      <c r="I86" s="290"/>
      <c r="J86" s="290"/>
      <c r="K86" s="290"/>
      <c r="L86" s="296"/>
      <c r="M86" s="290"/>
      <c r="N86" s="295"/>
      <c r="O86" s="294"/>
      <c r="P86" s="293"/>
      <c r="Q86" s="292"/>
      <c r="R86" s="292"/>
      <c r="S86" s="292"/>
      <c r="T86" s="290"/>
      <c r="U86" s="290"/>
      <c r="V86" s="290"/>
      <c r="W86" s="291"/>
      <c r="X86" s="290"/>
      <c r="Y86" s="289"/>
      <c r="Z86" s="266"/>
      <c r="AA86" s="49">
        <f>+'[2]CDIS Table-4'!O83</f>
        <v>0</v>
      </c>
      <c r="AB86" s="52">
        <f t="shared" si="46"/>
        <v>0</v>
      </c>
      <c r="AC86" s="52">
        <f t="shared" si="49"/>
        <v>0</v>
      </c>
      <c r="AD86" s="52">
        <f t="shared" si="47"/>
        <v>0</v>
      </c>
      <c r="AE86" s="52">
        <f t="shared" si="50"/>
        <v>0</v>
      </c>
      <c r="AF86" s="52"/>
      <c r="AG86" s="49">
        <f>+'[2]CDIS Table-4'!U83</f>
        <v>0</v>
      </c>
      <c r="AH86" s="52">
        <f t="shared" si="39"/>
        <v>0</v>
      </c>
      <c r="AI86" s="52">
        <f t="shared" si="51"/>
        <v>0</v>
      </c>
      <c r="AJ86" s="52">
        <f t="shared" si="43"/>
        <v>0</v>
      </c>
      <c r="AK86" s="52">
        <f t="shared" si="54"/>
        <v>0</v>
      </c>
      <c r="AL86" s="52"/>
      <c r="AM86" s="49">
        <f>+'[2]CDIS Table-4'!U83</f>
        <v>0</v>
      </c>
      <c r="AN86" s="52">
        <f t="shared" si="40"/>
        <v>0</v>
      </c>
      <c r="AO86" s="52">
        <f t="shared" si="52"/>
        <v>0</v>
      </c>
      <c r="AP86" s="52">
        <f t="shared" si="41"/>
        <v>0</v>
      </c>
      <c r="AQ86" s="52">
        <f t="shared" si="53"/>
        <v>0</v>
      </c>
      <c r="AR86" s="52">
        <f t="shared" si="44"/>
        <v>0</v>
      </c>
      <c r="AS86" s="52">
        <f t="shared" si="55"/>
        <v>0</v>
      </c>
      <c r="AT86" s="52">
        <f t="shared" si="48"/>
        <v>0</v>
      </c>
      <c r="AU86" s="52">
        <f t="shared" si="45"/>
        <v>0</v>
      </c>
    </row>
    <row r="87" spans="3:47" hidden="1" x14ac:dyDescent="0.35">
      <c r="C87" s="297" t="str">
        <f>+[3]TableA1!A88</f>
        <v>Panama</v>
      </c>
      <c r="D87" s="294"/>
      <c r="E87" s="293"/>
      <c r="F87" s="292"/>
      <c r="G87" s="292"/>
      <c r="H87" s="292"/>
      <c r="I87" s="290"/>
      <c r="J87" s="290"/>
      <c r="K87" s="290"/>
      <c r="L87" s="296"/>
      <c r="M87" s="290"/>
      <c r="N87" s="295"/>
      <c r="O87" s="294"/>
      <c r="P87" s="293"/>
      <c r="Q87" s="292"/>
      <c r="R87" s="292"/>
      <c r="S87" s="292"/>
      <c r="T87" s="290"/>
      <c r="U87" s="290"/>
      <c r="V87" s="290"/>
      <c r="W87" s="291"/>
      <c r="X87" s="290"/>
      <c r="Y87" s="289"/>
      <c r="Z87" s="266"/>
      <c r="AA87" s="49">
        <f>+'[2]CDIS Table-4'!O84</f>
        <v>1.3851704795761202E-3</v>
      </c>
      <c r="AB87" s="52">
        <f t="shared" si="46"/>
        <v>1.3851704795761202E-3</v>
      </c>
      <c r="AC87" s="52">
        <f t="shared" si="49"/>
        <v>2.7580310389910038E-3</v>
      </c>
      <c r="AD87" s="52">
        <f t="shared" si="47"/>
        <v>1.3851704795761202E-3</v>
      </c>
      <c r="AE87" s="52">
        <f t="shared" si="50"/>
        <v>3.5026961605373282E-3</v>
      </c>
      <c r="AF87" s="52"/>
      <c r="AG87" s="49">
        <f>+'[2]CDIS Table-4'!U84</f>
        <v>0</v>
      </c>
      <c r="AH87" s="52">
        <f t="shared" si="39"/>
        <v>0</v>
      </c>
      <c r="AI87" s="52">
        <f t="shared" si="51"/>
        <v>0</v>
      </c>
      <c r="AJ87" s="52">
        <f t="shared" si="43"/>
        <v>0</v>
      </c>
      <c r="AK87" s="52">
        <f t="shared" si="54"/>
        <v>0</v>
      </c>
      <c r="AL87" s="52"/>
      <c r="AM87" s="49">
        <f>+'[2]CDIS Table-4'!U84</f>
        <v>0</v>
      </c>
      <c r="AN87" s="52">
        <f t="shared" si="40"/>
        <v>0</v>
      </c>
      <c r="AO87" s="52">
        <f t="shared" si="52"/>
        <v>0</v>
      </c>
      <c r="AP87" s="52">
        <f t="shared" si="41"/>
        <v>0</v>
      </c>
      <c r="AQ87" s="52">
        <f t="shared" si="53"/>
        <v>0</v>
      </c>
      <c r="AR87" s="52">
        <f t="shared" si="44"/>
        <v>0</v>
      </c>
      <c r="AS87" s="52">
        <f t="shared" si="55"/>
        <v>0</v>
      </c>
      <c r="AT87" s="52">
        <f t="shared" si="48"/>
        <v>0</v>
      </c>
      <c r="AU87" s="52">
        <f t="shared" si="45"/>
        <v>0</v>
      </c>
    </row>
    <row r="88" spans="3:47" hidden="1" x14ac:dyDescent="0.35">
      <c r="C88" s="297" t="s">
        <v>122</v>
      </c>
      <c r="D88" s="294"/>
      <c r="E88" s="293"/>
      <c r="F88" s="292"/>
      <c r="G88" s="292"/>
      <c r="H88" s="292"/>
      <c r="I88" s="290"/>
      <c r="J88" s="290"/>
      <c r="K88" s="290"/>
      <c r="L88" s="296"/>
      <c r="M88" s="290"/>
      <c r="N88" s="295"/>
      <c r="O88" s="294"/>
      <c r="P88" s="293"/>
      <c r="Q88" s="292"/>
      <c r="R88" s="292"/>
      <c r="S88" s="292"/>
      <c r="T88" s="290"/>
      <c r="U88" s="290"/>
      <c r="V88" s="290"/>
      <c r="W88" s="291"/>
      <c r="X88" s="290"/>
      <c r="Y88" s="289"/>
      <c r="Z88" s="266"/>
      <c r="AA88" s="49">
        <f>+'[2]CDIS Table-4'!O85</f>
        <v>0</v>
      </c>
      <c r="AB88" s="52">
        <f t="shared" si="46"/>
        <v>0</v>
      </c>
      <c r="AC88" s="52">
        <f t="shared" si="49"/>
        <v>0</v>
      </c>
      <c r="AD88" s="52">
        <f t="shared" si="47"/>
        <v>0</v>
      </c>
      <c r="AE88" s="52">
        <f t="shared" si="50"/>
        <v>0</v>
      </c>
      <c r="AF88" s="52"/>
      <c r="AG88" s="49">
        <f>+'[2]CDIS Table-4'!U85</f>
        <v>0</v>
      </c>
      <c r="AH88" s="52">
        <f t="shared" si="39"/>
        <v>0</v>
      </c>
      <c r="AI88" s="52">
        <f t="shared" si="51"/>
        <v>0</v>
      </c>
      <c r="AJ88" s="52">
        <f t="shared" si="43"/>
        <v>0</v>
      </c>
      <c r="AK88" s="52">
        <f t="shared" si="54"/>
        <v>0</v>
      </c>
      <c r="AL88" s="52"/>
      <c r="AM88" s="49">
        <f>+'[2]CDIS Table-4'!U85</f>
        <v>0</v>
      </c>
      <c r="AN88" s="52">
        <f t="shared" si="40"/>
        <v>0</v>
      </c>
      <c r="AO88" s="52">
        <f t="shared" si="52"/>
        <v>0</v>
      </c>
      <c r="AP88" s="52">
        <f t="shared" si="41"/>
        <v>0</v>
      </c>
      <c r="AQ88" s="52">
        <f t="shared" si="53"/>
        <v>0</v>
      </c>
      <c r="AR88" s="52">
        <f t="shared" si="44"/>
        <v>0</v>
      </c>
      <c r="AS88" s="52">
        <f t="shared" si="55"/>
        <v>0</v>
      </c>
      <c r="AT88" s="52">
        <f t="shared" si="48"/>
        <v>0</v>
      </c>
      <c r="AU88" s="52">
        <f t="shared" si="45"/>
        <v>0</v>
      </c>
    </row>
    <row r="89" spans="3:47" ht="46.5" x14ac:dyDescent="0.35">
      <c r="C89" s="307" t="s">
        <v>442</v>
      </c>
      <c r="D89" s="304">
        <f t="shared" ref="D89:D98" si="56">+E89+L89</f>
        <v>2925.8087308514005</v>
      </c>
      <c r="E89" s="304">
        <f t="shared" ref="E89:L89" si="57">+SUM(E90:E97)</f>
        <v>1137.2641509433961</v>
      </c>
      <c r="F89" s="269">
        <f t="shared" si="57"/>
        <v>89.504716981132091</v>
      </c>
      <c r="G89" s="269">
        <f t="shared" si="57"/>
        <v>0</v>
      </c>
      <c r="H89" s="269">
        <f t="shared" si="57"/>
        <v>0</v>
      </c>
      <c r="I89" s="269">
        <f t="shared" si="57"/>
        <v>61.320754716981128</v>
      </c>
      <c r="J89" s="269">
        <f t="shared" si="57"/>
        <v>20.636792452830189</v>
      </c>
      <c r="K89" s="269">
        <f t="shared" si="57"/>
        <v>965.80188679245282</v>
      </c>
      <c r="L89" s="304">
        <f t="shared" si="57"/>
        <v>1788.5445799080044</v>
      </c>
      <c r="M89" s="269">
        <f t="shared" ref="M89:Y89" si="58">+SUM(M90:M97)</f>
        <v>254.80057348734687</v>
      </c>
      <c r="N89" s="274">
        <f t="shared" si="58"/>
        <v>1533.7440064206578</v>
      </c>
      <c r="O89" s="304">
        <f t="shared" si="58"/>
        <v>32236.472420158039</v>
      </c>
      <c r="P89" s="304">
        <f t="shared" si="58"/>
        <v>6148.7028301886803</v>
      </c>
      <c r="Q89" s="281">
        <f t="shared" si="58"/>
        <v>838.79716981132083</v>
      </c>
      <c r="R89" s="281">
        <f t="shared" si="58"/>
        <v>9.316037735849056</v>
      </c>
      <c r="S89" s="281">
        <f t="shared" si="58"/>
        <v>1824.4103773584907</v>
      </c>
      <c r="T89" s="281">
        <f t="shared" si="58"/>
        <v>621.4622641509435</v>
      </c>
      <c r="U89" s="281">
        <f t="shared" si="58"/>
        <v>7.665094339622641</v>
      </c>
      <c r="V89" s="281">
        <f t="shared" si="58"/>
        <v>2847.0518867924529</v>
      </c>
      <c r="W89" s="304">
        <f t="shared" si="58"/>
        <v>26087.769589969364</v>
      </c>
      <c r="X89" s="269">
        <f t="shared" si="58"/>
        <v>4046.8998140413169</v>
      </c>
      <c r="Y89" s="267">
        <f t="shared" si="58"/>
        <v>22040.869775928048</v>
      </c>
      <c r="Z89" s="266"/>
      <c r="AA89" s="49"/>
      <c r="AB89" s="52"/>
      <c r="AC89" s="52"/>
      <c r="AD89" s="52"/>
      <c r="AE89" s="52"/>
      <c r="AF89" s="52"/>
      <c r="AG89" s="49"/>
      <c r="AH89" s="52"/>
      <c r="AI89" s="52"/>
      <c r="AJ89" s="52"/>
      <c r="AK89" s="52"/>
      <c r="AL89" s="52"/>
      <c r="AM89" s="49"/>
      <c r="AN89" s="52"/>
      <c r="AO89" s="52"/>
      <c r="AP89" s="52"/>
      <c r="AQ89" s="52"/>
      <c r="AR89" s="52"/>
      <c r="AS89" s="52"/>
      <c r="AT89" s="52"/>
      <c r="AU89" s="52"/>
    </row>
    <row r="90" spans="3:47" x14ac:dyDescent="0.35">
      <c r="C90" s="297" t="s">
        <v>130</v>
      </c>
      <c r="D90" s="308">
        <f t="shared" si="56"/>
        <v>380.34062218183738</v>
      </c>
      <c r="E90" s="308">
        <f t="shared" ref="E90:E98" si="59">SUM(F90:K90)</f>
        <v>224.8820754716981</v>
      </c>
      <c r="F90" s="281">
        <f>HLOOKUP($C90,'[2]Interest shifted to EU'!$L$2:$AT$8,F$2,0)/E$106</f>
        <v>5.8962264150943398</v>
      </c>
      <c r="G90" s="281">
        <f>HLOOKUP($C90,'[2]Interest shifted to EU'!$L$2:$AT$8,G$2,0)/E$106</f>
        <v>0</v>
      </c>
      <c r="H90" s="281">
        <f>HLOOKUP($C90,'[2]Interest shifted to EU'!$L$2:$AT$8,H$2,0)/E$106</f>
        <v>0</v>
      </c>
      <c r="I90" s="281">
        <f>HLOOKUP($C90,'[2]Interest shifted to EU'!$L$2:$AT$8,I$2,0)/E$106</f>
        <v>0</v>
      </c>
      <c r="J90" s="281">
        <f>HLOOKUP($C90,'[2]Interest shifted to EU'!$L$2:$AT$8,J$2,0)/E$106</f>
        <v>0.82547169811320753</v>
      </c>
      <c r="K90" s="281">
        <f>HLOOKUP($C90,'[2]Interest shifted to EU'!$L$2:$AT$8,K$2,0)/E$106</f>
        <v>218.16037735849056</v>
      </c>
      <c r="L90" s="308">
        <f t="shared" ref="L90:L98" si="60">SUM(M90:N90)</f>
        <v>155.4585467101393</v>
      </c>
      <c r="M90" s="290">
        <f>AC90*'[2]Non-EU tax havens'!$K$8</f>
        <v>22.147016798032745</v>
      </c>
      <c r="N90" s="295">
        <f>AC90*'[2]Non-EU tax havens'!$K$13</f>
        <v>133.31152991210655</v>
      </c>
      <c r="O90" s="308">
        <f t="shared" ref="O90:O98" si="61">+P90+W90</f>
        <v>3313.8604037668129</v>
      </c>
      <c r="P90" s="308">
        <f t="shared" ref="P90:P98" si="62">SUM(Q90:V90)</f>
        <v>964.03301886792451</v>
      </c>
      <c r="Q90" s="281">
        <f>HLOOKUP($C90,'[2]Non EU income shifted to EU'!$B$2:$AI$9,Q$2+1,0)/E$106</f>
        <v>87.028301886792448</v>
      </c>
      <c r="R90" s="281">
        <f>HLOOKUP($C90,'[2]Non EU income shifted to EU'!$B$2:$AI$9,R$2+1,0)/E$106</f>
        <v>0</v>
      </c>
      <c r="S90" s="281">
        <f>HLOOKUP($C90,'[2]Non EU income shifted to EU'!$B$2:$AI$9,S$2+1,0)/E$106</f>
        <v>179.48113207547169</v>
      </c>
      <c r="T90" s="281">
        <f>HLOOKUP($C90,'[2]Non EU income shifted to EU'!$B$2:$AI$9,T$2+1,0)/E$106</f>
        <v>100.23584905660378</v>
      </c>
      <c r="U90" s="281">
        <f>HLOOKUP($C90,'[2]Non EU income shifted to EU'!$B$2:$AI$9,U$2+1,0)/E$106</f>
        <v>0.23584905660377362</v>
      </c>
      <c r="V90" s="281">
        <f>HLOOKUP($C90,'[2]Non EU income shifted to EU'!$B$2:$AI$9,V$2+1,0)/E$106</f>
        <v>597.05188679245282</v>
      </c>
      <c r="W90" s="308">
        <f>SUM(X90:Y90)</f>
        <v>2349.8273848988883</v>
      </c>
      <c r="X90" s="290">
        <f>IFERROR(IFERROR(VLOOKUP(C90,'[2]Swiss pivot'!$E$3:$H$54,3,0),VLOOKUP($C90,'[2]Breakdown non-EU havens'!$F$4:$H$31,3,0)/$E$106),AK90*'[2]Non-EU tax havens'!$I$8)</f>
        <v>434.05652736205775</v>
      </c>
      <c r="Y90" s="289">
        <f>AE90*'[2]Non-EU tax havens'!$I$13</f>
        <v>1915.7708575368304</v>
      </c>
      <c r="AA90" s="49">
        <f>+'[2]CDIS Table-4'!O88</f>
        <v>2.2661938775837801E-3</v>
      </c>
      <c r="AB90" s="52">
        <f t="shared" ref="AB90:AB98" si="63">+AA90</f>
        <v>2.2661938775837801E-3</v>
      </c>
      <c r="AC90" s="52">
        <f t="shared" ref="AC90:AC98" si="64">+AB90/$AB$102</f>
        <v>4.5122482372423178E-3</v>
      </c>
      <c r="AD90" s="52">
        <f t="shared" ref="AD90:AD98" si="65">+AB90</f>
        <v>2.2661938775837801E-3</v>
      </c>
      <c r="AE90" s="52">
        <f t="shared" ref="AE90:AE98" si="66">+AD90/$AD$102</f>
        <v>5.730549929475086E-3</v>
      </c>
      <c r="AF90" s="52"/>
      <c r="AG90" s="49">
        <f t="shared" ref="AG90:AG98" si="67">+AA90</f>
        <v>2.2661938775837801E-3</v>
      </c>
      <c r="AH90" s="52">
        <f>+AG90</f>
        <v>2.2661938775837801E-3</v>
      </c>
      <c r="AI90" s="52">
        <f t="shared" ref="AI90:AI98" si="68">+AH90/$AB$102</f>
        <v>4.5122482372423178E-3</v>
      </c>
      <c r="AJ90" s="52">
        <f>+AH90</f>
        <v>2.2661938775837801E-3</v>
      </c>
      <c r="AK90" s="52">
        <f t="shared" ref="AK90:AK98" si="69">+AJ90/$AJ$102</f>
        <v>1.4935848380963667E-2</v>
      </c>
      <c r="AL90" s="52"/>
      <c r="AM90" s="49">
        <f>+'[2]CDIS Table-4'!U88</f>
        <v>0</v>
      </c>
      <c r="AN90" s="52">
        <f t="shared" ref="AN90:AN97" si="70">+AM90</f>
        <v>0</v>
      </c>
      <c r="AO90" s="52">
        <f t="shared" ref="AO90:AO97" si="71">+AN90/$AB$102</f>
        <v>0</v>
      </c>
      <c r="AP90" s="52">
        <f t="shared" ref="AP90:AP97" si="72">+AN90</f>
        <v>0</v>
      </c>
      <c r="AQ90" s="52">
        <f t="shared" ref="AQ90:AQ97" si="73">+AP90/$AD$102</f>
        <v>0</v>
      </c>
      <c r="AR90" s="52">
        <f t="shared" ref="AR90:AR97" si="74">+AF90</f>
        <v>0</v>
      </c>
      <c r="AS90" s="52">
        <f t="shared" ref="AS90:AS97" si="75">+AR90/$AR$102</f>
        <v>0</v>
      </c>
      <c r="AT90" s="52">
        <f t="shared" ref="AT90:AT97" si="76">+AS90</f>
        <v>0</v>
      </c>
      <c r="AU90" s="52">
        <f>+AT90/$AB$102</f>
        <v>0</v>
      </c>
    </row>
    <row r="91" spans="3:47" s="257" customFormat="1" x14ac:dyDescent="0.35">
      <c r="C91" s="297" t="s">
        <v>175</v>
      </c>
      <c r="D91" s="308">
        <f t="shared" si="56"/>
        <v>233.29285571827512</v>
      </c>
      <c r="E91" s="308">
        <f t="shared" si="59"/>
        <v>35.377358490566039</v>
      </c>
      <c r="F91" s="281">
        <f>HLOOKUP($C91,'[2]Interest shifted to EU'!$L$2:$AT$8,F$2,0)/E$106</f>
        <v>24.764150943396228</v>
      </c>
      <c r="G91" s="281">
        <f>HLOOKUP($C91,'[2]Interest shifted to EU'!$L$2:$AT$8,G$2,0)/E$106</f>
        <v>0</v>
      </c>
      <c r="H91" s="281">
        <f>HLOOKUP($C91,'[2]Interest shifted to EU'!$L$2:$AT$8,H$2,0)/E$106</f>
        <v>0</v>
      </c>
      <c r="I91" s="281">
        <f>HLOOKUP($C91,'[2]Interest shifted to EU'!$L$2:$AT$8,I$2,0)/E$106</f>
        <v>0</v>
      </c>
      <c r="J91" s="281">
        <f>HLOOKUP($C91,'[2]Interest shifted to EU'!$L$2:$AT$8,J$2,0)/E$106</f>
        <v>0</v>
      </c>
      <c r="K91" s="281">
        <f>HLOOKUP($C91,'[2]Interest shifted to EU'!$L$2:$AT$8,K$2,0)/E$106</f>
        <v>10.613207547169811</v>
      </c>
      <c r="L91" s="308">
        <f t="shared" si="60"/>
        <v>197.9154972277091</v>
      </c>
      <c r="M91" s="290">
        <f>AC91*'[2]Non-EU tax havens'!$K$8</f>
        <v>28.195541090872641</v>
      </c>
      <c r="N91" s="295">
        <f>AC91*'[2]Non-EU tax havens'!$K$13</f>
        <v>169.71995613683646</v>
      </c>
      <c r="O91" s="308">
        <f t="shared" si="61"/>
        <v>3829.6733285453952</v>
      </c>
      <c r="P91" s="308">
        <f t="shared" si="62"/>
        <v>838.08962264150944</v>
      </c>
      <c r="Q91" s="281">
        <f>HLOOKUP($C91,'[2]Non EU income shifted to EU'!$B$2:$AI$9,Q$2+1,0)/E$106</f>
        <v>287.97169811320754</v>
      </c>
      <c r="R91" s="281">
        <f>HLOOKUP($C91,'[2]Non EU income shifted to EU'!$B$2:$AI$9,R$2+1,0)/E$106</f>
        <v>5.4245283018867925</v>
      </c>
      <c r="S91" s="281">
        <f>HLOOKUP($C91,'[2]Non EU income shifted to EU'!$B$2:$AI$9,S$2+1,0)/E$106</f>
        <v>247.52358490566039</v>
      </c>
      <c r="T91" s="281">
        <f>HLOOKUP($C91,'[2]Non EU income shifted to EU'!$B$2:$AI$9,T$2+1,0)/E$106</f>
        <v>79.009433962264154</v>
      </c>
      <c r="U91" s="281">
        <f>HLOOKUP($C91,'[2]Non EU income shifted to EU'!$B$2:$AI$9,U$2+1,0)/E$106</f>
        <v>4.4811320754716979</v>
      </c>
      <c r="V91" s="281">
        <f>HLOOKUP($C91,'[2]Non EU income shifted to EU'!$B$2:$AI$9,V$2+1,0)/E$106</f>
        <v>213.67924528301887</v>
      </c>
      <c r="W91" s="308">
        <f>SUM(X91:Y91)</f>
        <v>2991.5837059038859</v>
      </c>
      <c r="X91" s="290">
        <f>IFERROR(IFERROR(VLOOKUP(C91,'[2]Swiss pivot'!$E$3:$H$54,3,0),VLOOKUP($C91,'[2]Breakdown non-EU havens'!$F$4:$H$31,3,0)/$E$106),AK91*'[2]Non-EU tax havens'!$I$8)</f>
        <v>552.60077529202454</v>
      </c>
      <c r="Y91" s="289">
        <f>AE91*'[2]Non-EU tax havens'!$I$13</f>
        <v>2438.9829306118613</v>
      </c>
      <c r="AA91" s="49">
        <f>+'[2]CDIS Table-4'!O89</f>
        <v>2.8851092306469567E-3</v>
      </c>
      <c r="AB91" s="52">
        <f t="shared" si="63"/>
        <v>2.8851092306469567E-3</v>
      </c>
      <c r="AC91" s="52">
        <f t="shared" si="64"/>
        <v>5.744578682790563E-3</v>
      </c>
      <c r="AD91" s="52">
        <f t="shared" si="65"/>
        <v>2.8851092306469567E-3</v>
      </c>
      <c r="AE91" s="52">
        <f t="shared" si="66"/>
        <v>7.2956081391586988E-3</v>
      </c>
      <c r="AF91" s="52"/>
      <c r="AG91" s="49">
        <f t="shared" si="67"/>
        <v>2.8851092306469567E-3</v>
      </c>
      <c r="AH91" s="52">
        <f>+AG91</f>
        <v>2.8851092306469567E-3</v>
      </c>
      <c r="AI91" s="52">
        <f t="shared" si="68"/>
        <v>5.744578682790563E-3</v>
      </c>
      <c r="AJ91" s="52">
        <f>+AH91</f>
        <v>2.8851092306469567E-3</v>
      </c>
      <c r="AK91" s="52">
        <f t="shared" si="69"/>
        <v>1.9014945922193546E-2</v>
      </c>
      <c r="AL91" s="52"/>
      <c r="AM91" s="49">
        <f>+'[2]CDIS Table-4'!U89</f>
        <v>0</v>
      </c>
      <c r="AN91" s="52">
        <f t="shared" si="70"/>
        <v>0</v>
      </c>
      <c r="AO91" s="52">
        <f t="shared" si="71"/>
        <v>0</v>
      </c>
      <c r="AP91" s="52">
        <f t="shared" si="72"/>
        <v>0</v>
      </c>
      <c r="AQ91" s="52">
        <f t="shared" si="73"/>
        <v>0</v>
      </c>
      <c r="AR91" s="52">
        <f t="shared" si="74"/>
        <v>0</v>
      </c>
      <c r="AS91" s="52">
        <f t="shared" si="75"/>
        <v>0</v>
      </c>
      <c r="AT91" s="52">
        <f t="shared" si="76"/>
        <v>0</v>
      </c>
      <c r="AU91" s="52">
        <f>+AT91/$AB$102</f>
        <v>0</v>
      </c>
    </row>
    <row r="92" spans="3:47" s="257" customFormat="1" x14ac:dyDescent="0.35">
      <c r="C92" s="297" t="s">
        <v>198</v>
      </c>
      <c r="D92" s="308">
        <f t="shared" si="56"/>
        <v>687.49359519241489</v>
      </c>
      <c r="E92" s="308">
        <f t="shared" si="59"/>
        <v>239.74056603773587</v>
      </c>
      <c r="F92" s="281">
        <f>HLOOKUP($C92,'[2]Interest shifted to EU'!$L$2:$AT$8,F$2,0)/E$106</f>
        <v>3.1839622641509435</v>
      </c>
      <c r="G92" s="281">
        <f>HLOOKUP($C92,'[2]Interest shifted to EU'!$L$2:$AT$8,G$2,0)/E$106</f>
        <v>0</v>
      </c>
      <c r="H92" s="281">
        <f>HLOOKUP($C92,'[2]Interest shifted to EU'!$L$2:$AT$8,H$2,0)/E$106</f>
        <v>0</v>
      </c>
      <c r="I92" s="281">
        <f>HLOOKUP($C92,'[2]Interest shifted to EU'!$L$2:$AT$8,I$2,0)/E$106</f>
        <v>0</v>
      </c>
      <c r="J92" s="281">
        <f>HLOOKUP($C92,'[2]Interest shifted to EU'!$L$2:$AT$8,J$2,0)/E$106</f>
        <v>6.6037735849056602</v>
      </c>
      <c r="K92" s="281">
        <f>HLOOKUP($C92,'[2]Interest shifted to EU'!$L$2:$AT$8,K$2,0)/E$106</f>
        <v>229.95283018867926</v>
      </c>
      <c r="L92" s="308">
        <f t="shared" si="60"/>
        <v>447.75302915467904</v>
      </c>
      <c r="M92" s="290">
        <f>AC92*'[2]Non-EU tax havens'!$K$8</f>
        <v>63.788026248234281</v>
      </c>
      <c r="N92" s="295">
        <f>AC92*'[2]Non-EU tax havens'!$K$13</f>
        <v>383.96500290644474</v>
      </c>
      <c r="O92" s="308">
        <f t="shared" si="61"/>
        <v>8094.5258493995907</v>
      </c>
      <c r="P92" s="308">
        <f t="shared" si="62"/>
        <v>1326.5330188679245</v>
      </c>
      <c r="Q92" s="281">
        <f>HLOOKUP($C92,'[2]Non EU income shifted to EU'!$B$2:$AI$9,Q$2+1,0)/E$106</f>
        <v>50.70754716981132</v>
      </c>
      <c r="R92" s="281">
        <f>HLOOKUP($C92,'[2]Non EU income shifted to EU'!$B$2:$AI$9,R$2+1,0)/E$106</f>
        <v>1.2971698113207548</v>
      </c>
      <c r="S92" s="281">
        <f>HLOOKUP($C92,'[2]Non EU income shifted to EU'!$B$2:$AI$9,S$2+1,0)/E$106</f>
        <v>531.83962264150944</v>
      </c>
      <c r="T92" s="281">
        <f>HLOOKUP($C92,'[2]Non EU income shifted to EU'!$B$2:$AI$9,T$2+1,0)/E$106</f>
        <v>69.575471698113205</v>
      </c>
      <c r="U92" s="281">
        <f>HLOOKUP($C92,'[2]Non EU income shifted to EU'!$B$2:$AI$9,U$2+1,0)/E$106</f>
        <v>1.0613207547169812</v>
      </c>
      <c r="V92" s="281">
        <f>HLOOKUP($C92,'[2]Non EU income shifted to EU'!$B$2:$AI$9,V$2+1,0)/E$106</f>
        <v>672.05188679245282</v>
      </c>
      <c r="W92" s="308">
        <f t="shared" ref="W92:W97" si="77">SUM(X92:Y92)</f>
        <v>6767.9928305316662</v>
      </c>
      <c r="X92" s="290">
        <f>IFERROR(IFERROR(VLOOKUP(C92,'[2]Swiss pivot'!$E$3:$H$54,3,0),VLOOKUP($C92,'[2]Breakdown non-EU havens'!$F$4:$H$31,3,0)/$E$106),AK92*'[2]Non-EU tax havens'!$I$8)</f>
        <v>1250.1733038396292</v>
      </c>
      <c r="Y92" s="289">
        <f>AE92*'[2]Non-EU tax havens'!$I$13</f>
        <v>5517.8195266920375</v>
      </c>
      <c r="AA92" s="49">
        <f>+'[2]CDIS Table-4'!O90</f>
        <v>6.5271108910588127E-3</v>
      </c>
      <c r="AB92" s="52">
        <f t="shared" si="63"/>
        <v>6.5271108910588127E-3</v>
      </c>
      <c r="AC92" s="52">
        <f t="shared" si="64"/>
        <v>1.2996215771206203E-2</v>
      </c>
      <c r="AD92" s="52">
        <f t="shared" si="65"/>
        <v>6.5271108910588127E-3</v>
      </c>
      <c r="AE92" s="52">
        <f t="shared" si="66"/>
        <v>1.6505178672670887E-2</v>
      </c>
      <c r="AF92" s="52"/>
      <c r="AG92" s="49">
        <f t="shared" si="67"/>
        <v>6.5271108910588127E-3</v>
      </c>
      <c r="AH92" s="52">
        <f t="shared" ref="AH92:AH97" si="78">+AG92</f>
        <v>6.5271108910588127E-3</v>
      </c>
      <c r="AI92" s="52">
        <f t="shared" si="68"/>
        <v>1.2996215771206203E-2</v>
      </c>
      <c r="AJ92" s="52">
        <f t="shared" ref="AJ92:AJ97" si="79">+AH92</f>
        <v>6.5271108910588127E-3</v>
      </c>
      <c r="AK92" s="52">
        <f t="shared" si="69"/>
        <v>4.3018357607837551E-2</v>
      </c>
      <c r="AL92" s="52"/>
      <c r="AM92" s="49">
        <f>+'[2]CDIS Table-4'!U90</f>
        <v>0</v>
      </c>
      <c r="AN92" s="52">
        <f t="shared" si="70"/>
        <v>0</v>
      </c>
      <c r="AO92" s="52">
        <f t="shared" si="71"/>
        <v>0</v>
      </c>
      <c r="AP92" s="52">
        <f t="shared" si="72"/>
        <v>0</v>
      </c>
      <c r="AQ92" s="52">
        <f t="shared" si="73"/>
        <v>0</v>
      </c>
      <c r="AR92" s="52">
        <f t="shared" si="74"/>
        <v>0</v>
      </c>
      <c r="AS92" s="52">
        <f t="shared" si="75"/>
        <v>0</v>
      </c>
      <c r="AT92" s="52">
        <f t="shared" si="76"/>
        <v>0</v>
      </c>
      <c r="AU92" s="52">
        <f t="shared" ref="AU92:AU97" si="80">+AT92/$AB$102</f>
        <v>0</v>
      </c>
    </row>
    <row r="93" spans="3:47" s="257" customFormat="1" x14ac:dyDescent="0.35">
      <c r="C93" s="297" t="s">
        <v>222</v>
      </c>
      <c r="D93" s="308">
        <f t="shared" si="56"/>
        <v>406.43551965752141</v>
      </c>
      <c r="E93" s="308">
        <f t="shared" si="59"/>
        <v>122.87735849056604</v>
      </c>
      <c r="F93" s="281">
        <f>HLOOKUP($C93,'[2]Interest shifted to EU'!$L$2:$AT$8,F$2,0)/E$106</f>
        <v>10.849056603773585</v>
      </c>
      <c r="G93" s="281">
        <f>HLOOKUP($C93,'[2]Interest shifted to EU'!$L$2:$AT$8,G$2,0)/E$106</f>
        <v>0</v>
      </c>
      <c r="H93" s="281">
        <f>HLOOKUP($C93,'[2]Interest shifted to EU'!$L$2:$AT$8,H$2,0)/E$106</f>
        <v>0</v>
      </c>
      <c r="I93" s="281">
        <f>HLOOKUP($C93,'[2]Interest shifted to EU'!$L$2:$AT$8,I$2,0)/E$106</f>
        <v>41.037735849056602</v>
      </c>
      <c r="J93" s="281">
        <f>HLOOKUP($C93,'[2]Interest shifted to EU'!$L$2:$AT$8,J$2,0)/E$106</f>
        <v>2.5943396226415096</v>
      </c>
      <c r="K93" s="281">
        <f>HLOOKUP($C93,'[2]Interest shifted to EU'!$L$2:$AT$8,K$2,0)/E$106</f>
        <v>68.396226415094347</v>
      </c>
      <c r="L93" s="308">
        <f t="shared" si="60"/>
        <v>283.55816116695536</v>
      </c>
      <c r="M93" s="290">
        <f>AC93*'[2]Non-EU tax havens'!$K$8</f>
        <v>40.396411078595563</v>
      </c>
      <c r="N93" s="295">
        <f>AC93*'[2]Non-EU tax havens'!$K$13</f>
        <v>243.16175008835978</v>
      </c>
      <c r="O93" s="308">
        <f t="shared" si="61"/>
        <v>4934.8830416888886</v>
      </c>
      <c r="P93" s="308">
        <f t="shared" si="62"/>
        <v>1115.4481132075471</v>
      </c>
      <c r="Q93" s="281">
        <f>HLOOKUP($C93,'[2]Non EU income shifted to EU'!$B$2:$AI$9,Q$2+1,0)/E$106</f>
        <v>275.94339622641508</v>
      </c>
      <c r="R93" s="281">
        <f>HLOOKUP($C93,'[2]Non EU income shifted to EU'!$B$2:$AI$9,R$2+1,0)/E$106</f>
        <v>0</v>
      </c>
      <c r="S93" s="281">
        <f>HLOOKUP($C93,'[2]Non EU income shifted to EU'!$B$2:$AI$9,S$2+1,0)/E$106</f>
        <v>346.22641509433964</v>
      </c>
      <c r="T93" s="281">
        <f>HLOOKUP($C93,'[2]Non EU income shifted to EU'!$B$2:$AI$9,T$2+1,0)/E$106</f>
        <v>102.59433962264151</v>
      </c>
      <c r="U93" s="281">
        <f>HLOOKUP($C93,'[2]Non EU income shifted to EU'!$B$2:$AI$9,U$2+1,0)/E$106</f>
        <v>1.5330188679245285</v>
      </c>
      <c r="V93" s="281">
        <f>HLOOKUP($C93,'[2]Non EU income shifted to EU'!$B$2:$AI$9,V$2+1,0)/E$106</f>
        <v>389.15094339622641</v>
      </c>
      <c r="W93" s="308">
        <f t="shared" si="77"/>
        <v>3819.4349284813411</v>
      </c>
      <c r="X93" s="290">
        <f>IFERROR(IFERROR(VLOOKUP(C93,'[2]Swiss pivot'!$E$3:$H$54,3,0),VLOOKUP($C93,'[2]Breakdown non-EU havens'!$F$4:$H$31,3,0)/$E$106),AK93*'[2]Non-EU tax havens'!$I$8)</f>
        <v>325.04704774763979</v>
      </c>
      <c r="Y93" s="289">
        <f>AE93*'[2]Non-EU tax havens'!$I$13</f>
        <v>3494.3878807337014</v>
      </c>
      <c r="AA93" s="49">
        <f>+'[2]CDIS Table-4'!O91</f>
        <v>4.1335634635362092E-3</v>
      </c>
      <c r="AB93" s="52">
        <f t="shared" si="63"/>
        <v>4.1335634635362092E-3</v>
      </c>
      <c r="AC93" s="52">
        <f t="shared" si="64"/>
        <v>8.2303922168199262E-3</v>
      </c>
      <c r="AD93" s="52">
        <f t="shared" si="65"/>
        <v>4.1335634635362092E-3</v>
      </c>
      <c r="AE93" s="52">
        <f t="shared" si="66"/>
        <v>1.0452588390056004E-2</v>
      </c>
      <c r="AF93" s="52"/>
      <c r="AG93" s="49">
        <f t="shared" si="67"/>
        <v>4.1335634635362092E-3</v>
      </c>
      <c r="AH93" s="52">
        <f t="shared" si="78"/>
        <v>4.1335634635362092E-3</v>
      </c>
      <c r="AI93" s="52">
        <f t="shared" si="68"/>
        <v>8.2303922168199262E-3</v>
      </c>
      <c r="AJ93" s="52">
        <f t="shared" si="79"/>
        <v>4.1335634635362092E-3</v>
      </c>
      <c r="AK93" s="52">
        <f t="shared" si="69"/>
        <v>2.724315769059147E-2</v>
      </c>
      <c r="AL93" s="52"/>
      <c r="AM93" s="49">
        <f>+'[2]CDIS Table-4'!U91</f>
        <v>0</v>
      </c>
      <c r="AN93" s="52">
        <f t="shared" si="70"/>
        <v>0</v>
      </c>
      <c r="AO93" s="52">
        <f t="shared" si="71"/>
        <v>0</v>
      </c>
      <c r="AP93" s="52">
        <f t="shared" si="72"/>
        <v>0</v>
      </c>
      <c r="AQ93" s="52">
        <f t="shared" si="73"/>
        <v>0</v>
      </c>
      <c r="AR93" s="52">
        <f t="shared" si="74"/>
        <v>0</v>
      </c>
      <c r="AS93" s="52">
        <f t="shared" si="75"/>
        <v>0</v>
      </c>
      <c r="AT93" s="52">
        <f t="shared" si="76"/>
        <v>0</v>
      </c>
      <c r="AU93" s="52">
        <f t="shared" si="80"/>
        <v>0</v>
      </c>
    </row>
    <row r="94" spans="3:47" s="257" customFormat="1" x14ac:dyDescent="0.35">
      <c r="C94" s="297" t="s">
        <v>240</v>
      </c>
      <c r="D94" s="308">
        <f t="shared" si="56"/>
        <v>392.51341661242486</v>
      </c>
      <c r="E94" s="308">
        <f t="shared" si="59"/>
        <v>220.51886792452831</v>
      </c>
      <c r="F94" s="281">
        <f>HLOOKUP($C94,'[2]Interest shifted to EU'!$L$2:$AT$8,F$2,0)/E$106</f>
        <v>31.839622641509436</v>
      </c>
      <c r="G94" s="281">
        <f>HLOOKUP($C94,'[2]Interest shifted to EU'!$L$2:$AT$8,G$2,0)/E$106</f>
        <v>0</v>
      </c>
      <c r="H94" s="281">
        <f>HLOOKUP($C94,'[2]Interest shifted to EU'!$L$2:$AT$8,H$2,0)/E$106</f>
        <v>0</v>
      </c>
      <c r="I94" s="281">
        <f>HLOOKUP($C94,'[2]Interest shifted to EU'!$L$2:$AT$8,I$2,0)/E$106</f>
        <v>0</v>
      </c>
      <c r="J94" s="281">
        <f>HLOOKUP($C94,'[2]Interest shifted to EU'!$L$2:$AT$8,J$2,0)/E$106</f>
        <v>0</v>
      </c>
      <c r="K94" s="281">
        <f>HLOOKUP($C94,'[2]Interest shifted to EU'!$L$2:$AT$8,K$2,0)/E$106</f>
        <v>188.67924528301887</v>
      </c>
      <c r="L94" s="308">
        <f t="shared" si="60"/>
        <v>171.99454868789653</v>
      </c>
      <c r="M94" s="290">
        <f>AC94*'[2]Non-EU tax havens'!$K$8</f>
        <v>24.502777361371436</v>
      </c>
      <c r="N94" s="295">
        <f>AC94*'[2]Non-EU tax havens'!$K$13</f>
        <v>147.49177132652508</v>
      </c>
      <c r="O94" s="308">
        <f t="shared" si="61"/>
        <v>2796.2008234413929</v>
      </c>
      <c r="P94" s="308">
        <f t="shared" si="62"/>
        <v>676.65094339622647</v>
      </c>
      <c r="Q94" s="281">
        <f>HLOOKUP($C94,'[2]Non EU income shifted to EU'!$B$2:$AI$9,Q$2+1,0)/E$106</f>
        <v>61.79245283018868</v>
      </c>
      <c r="R94" s="281">
        <f>HLOOKUP($C94,'[2]Non EU income shifted to EU'!$B$2:$AI$9,R$2+1,0)/E$106</f>
        <v>1.179245283018868</v>
      </c>
      <c r="S94" s="281">
        <f>HLOOKUP($C94,'[2]Non EU income shifted to EU'!$B$2:$AI$9,S$2+1,0)/E$106</f>
        <v>142.68867924528303</v>
      </c>
      <c r="T94" s="281">
        <f>HLOOKUP($C94,'[2]Non EU income shifted to EU'!$B$2:$AI$9,T$2+1,0)/E$106</f>
        <v>81.367924528301884</v>
      </c>
      <c r="U94" s="281">
        <f>HLOOKUP($C94,'[2]Non EU income shifted to EU'!$B$2:$AI$9,U$2+1,0)/E$106</f>
        <v>0.35377358490566035</v>
      </c>
      <c r="V94" s="281">
        <f>HLOOKUP($C94,'[2]Non EU income shifted to EU'!$B$2:$AI$9,V$2+1,0)/E$106</f>
        <v>389.26886792452837</v>
      </c>
      <c r="W94" s="308">
        <f t="shared" si="77"/>
        <v>2119.5498800451664</v>
      </c>
      <c r="X94" s="290">
        <f>IFERROR(IFERROR(VLOOKUP(C94,'[2]Swiss pivot'!$E$3:$H$54,3,0),VLOOKUP($C94,'[2]Breakdown non-EU havens'!$F$4:$H$31,3,0)/$E$106),AK94*'[2]Non-EU tax havens'!$I$8)</f>
        <v>0</v>
      </c>
      <c r="Y94" s="289">
        <f>AE94*'[2]Non-EU tax havens'!$I$13</f>
        <v>2119.5498800451664</v>
      </c>
      <c r="AA94" s="49">
        <f>+'[2]CDIS Table-4'!O93</f>
        <v>2.5072471180439433E-3</v>
      </c>
      <c r="AB94" s="52">
        <f t="shared" si="63"/>
        <v>2.5072471180439433E-3</v>
      </c>
      <c r="AC94" s="52">
        <f t="shared" si="64"/>
        <v>4.9922124936578457E-3</v>
      </c>
      <c r="AD94" s="52">
        <f t="shared" si="65"/>
        <v>2.5072471180439433E-3</v>
      </c>
      <c r="AE94" s="52">
        <f t="shared" si="66"/>
        <v>6.34010396798107E-3</v>
      </c>
      <c r="AF94" s="52"/>
      <c r="AG94" s="49">
        <f t="shared" si="67"/>
        <v>2.5072471180439433E-3</v>
      </c>
      <c r="AH94" s="52">
        <f t="shared" si="78"/>
        <v>2.5072471180439433E-3</v>
      </c>
      <c r="AI94" s="52">
        <f t="shared" si="68"/>
        <v>4.9922124936578457E-3</v>
      </c>
      <c r="AJ94" s="52"/>
      <c r="AK94" s="52">
        <f t="shared" si="69"/>
        <v>0</v>
      </c>
      <c r="AL94" s="52"/>
      <c r="AM94" s="49">
        <f>+'[2]CDIS Table-4'!U93</f>
        <v>0</v>
      </c>
      <c r="AN94" s="52">
        <f t="shared" si="70"/>
        <v>0</v>
      </c>
      <c r="AO94" s="52">
        <f t="shared" si="71"/>
        <v>0</v>
      </c>
      <c r="AP94" s="52">
        <f t="shared" si="72"/>
        <v>0</v>
      </c>
      <c r="AQ94" s="52">
        <f t="shared" si="73"/>
        <v>0</v>
      </c>
      <c r="AR94" s="52">
        <f t="shared" si="74"/>
        <v>0</v>
      </c>
      <c r="AS94" s="52">
        <f t="shared" si="75"/>
        <v>0</v>
      </c>
      <c r="AT94" s="52">
        <f t="shared" si="76"/>
        <v>0</v>
      </c>
      <c r="AU94" s="52">
        <f t="shared" si="80"/>
        <v>0</v>
      </c>
    </row>
    <row r="95" spans="3:47" s="257" customFormat="1" x14ac:dyDescent="0.35">
      <c r="C95" s="297" t="s">
        <v>267</v>
      </c>
      <c r="D95" s="308">
        <f t="shared" si="56"/>
        <v>505.13260179321446</v>
      </c>
      <c r="E95" s="308">
        <f t="shared" si="59"/>
        <v>73.584905660377359</v>
      </c>
      <c r="F95" s="281">
        <f>HLOOKUP($C95,'[2]Interest shifted to EU'!$L$2:$AT$8,F$2,0)/E$106</f>
        <v>10.377358490566039</v>
      </c>
      <c r="G95" s="281">
        <f>HLOOKUP($C95,'[2]Interest shifted to EU'!$L$2:$AT$8,G$2,0)/E$106</f>
        <v>0</v>
      </c>
      <c r="H95" s="281">
        <f>HLOOKUP($C95,'[2]Interest shifted to EU'!$L$2:$AT$8,H$2,0)/E$106</f>
        <v>0</v>
      </c>
      <c r="I95" s="281">
        <f>HLOOKUP($C95,'[2]Interest shifted to EU'!$L$2:$AT$8,I$2,0)/E$106</f>
        <v>9.1981132075471699</v>
      </c>
      <c r="J95" s="281">
        <f>HLOOKUP($C95,'[2]Interest shifted to EU'!$L$2:$AT$8,J$2,0)/E$106</f>
        <v>8.0188679245283012</v>
      </c>
      <c r="K95" s="281">
        <f>HLOOKUP($C95,'[2]Interest shifted to EU'!$L$2:$AT$8,K$2,0)/E$106</f>
        <v>45.990566037735853</v>
      </c>
      <c r="L95" s="308">
        <f t="shared" si="60"/>
        <v>431.54769613283707</v>
      </c>
      <c r="M95" s="290">
        <f>AC95*'[2]Non-EU tax havens'!$K$8</f>
        <v>61.479373618658144</v>
      </c>
      <c r="N95" s="295">
        <f>AC95*'[2]Non-EU tax havens'!$K$13</f>
        <v>370.06832251417893</v>
      </c>
      <c r="O95" s="308">
        <f t="shared" si="61"/>
        <v>7490.8483774352026</v>
      </c>
      <c r="P95" s="308">
        <f t="shared" si="62"/>
        <v>967.80660377358492</v>
      </c>
      <c r="Q95" s="281">
        <f>HLOOKUP($C95,'[2]Non EU income shifted to EU'!$B$2:$AI$9,Q$2+1,0)/E$106</f>
        <v>57.783018867924532</v>
      </c>
      <c r="R95" s="281">
        <f>HLOOKUP($C95,'[2]Non EU income shifted to EU'!$B$2:$AI$9,R$2+1,0)/E$106</f>
        <v>1.4150943396226414</v>
      </c>
      <c r="S95" s="281">
        <f>HLOOKUP($C95,'[2]Non EU income shifted to EU'!$B$2:$AI$9,S$2+1,0)/E$106</f>
        <v>354.95283018867923</v>
      </c>
      <c r="T95" s="281">
        <f>HLOOKUP($C95,'[2]Non EU income shifted to EU'!$B$2:$AI$9,T$2+1,0)/E$106</f>
        <v>110.84905660377359</v>
      </c>
      <c r="U95" s="281">
        <f>HLOOKUP($C95,'[2]Non EU income shifted to EU'!$B$2:$AI$9,U$2+1,0)/E$106</f>
        <v>0</v>
      </c>
      <c r="V95" s="281">
        <f>HLOOKUP($C95,'[2]Non EU income shifted to EU'!$B$2:$AI$9,V$2+1,0)/E$106</f>
        <v>442.80660377358492</v>
      </c>
      <c r="W95" s="308">
        <f t="shared" si="77"/>
        <v>6523.0417736616173</v>
      </c>
      <c r="X95" s="290">
        <f>IFERROR(IFERROR(VLOOKUP(C95,'[2]Swiss pivot'!$E$3:$H$54,3,0),VLOOKUP($C95,'[2]Breakdown non-EU havens'!$F$4:$H$31,3,0)/$E$106),AK95*'[2]Non-EU tax havens'!$I$8)</f>
        <v>1204.9263185495781</v>
      </c>
      <c r="Y95" s="289">
        <f>AE95*'[2]Non-EU tax havens'!$I$13</f>
        <v>5318.1154551120389</v>
      </c>
      <c r="AA95" s="49">
        <f>+'[2]CDIS Table-4'!O94</f>
        <v>6.2908779707371073E-3</v>
      </c>
      <c r="AB95" s="52">
        <f t="shared" si="63"/>
        <v>6.2908779707371073E-3</v>
      </c>
      <c r="AC95" s="52">
        <f t="shared" si="64"/>
        <v>1.2525849317195336E-2</v>
      </c>
      <c r="AD95" s="52">
        <f t="shared" si="65"/>
        <v>6.2908779707371073E-3</v>
      </c>
      <c r="AE95" s="52">
        <f t="shared" si="66"/>
        <v>1.5907813831877737E-2</v>
      </c>
      <c r="AF95" s="52"/>
      <c r="AG95" s="49">
        <f t="shared" si="67"/>
        <v>6.2908779707371073E-3</v>
      </c>
      <c r="AH95" s="52">
        <f t="shared" si="78"/>
        <v>6.2908779707371073E-3</v>
      </c>
      <c r="AI95" s="52">
        <f t="shared" si="68"/>
        <v>1.2525849317195336E-2</v>
      </c>
      <c r="AJ95" s="52">
        <f t="shared" si="79"/>
        <v>6.2908779707371073E-3</v>
      </c>
      <c r="AK95" s="52">
        <f t="shared" si="69"/>
        <v>4.1461412672358693E-2</v>
      </c>
      <c r="AL95" s="52"/>
      <c r="AM95" s="49">
        <f>+'[2]CDIS Table-4'!U94</f>
        <v>0</v>
      </c>
      <c r="AN95" s="52">
        <f t="shared" si="70"/>
        <v>0</v>
      </c>
      <c r="AO95" s="52">
        <f t="shared" si="71"/>
        <v>0</v>
      </c>
      <c r="AP95" s="52">
        <f t="shared" si="72"/>
        <v>0</v>
      </c>
      <c r="AQ95" s="52">
        <f t="shared" si="73"/>
        <v>0</v>
      </c>
      <c r="AR95" s="52">
        <f t="shared" si="74"/>
        <v>0</v>
      </c>
      <c r="AS95" s="52">
        <f t="shared" si="75"/>
        <v>0</v>
      </c>
      <c r="AT95" s="52">
        <f t="shared" si="76"/>
        <v>0</v>
      </c>
      <c r="AU95" s="52">
        <f t="shared" si="80"/>
        <v>0</v>
      </c>
    </row>
    <row r="96" spans="3:47" s="257" customFormat="1" x14ac:dyDescent="0.35">
      <c r="C96" s="297" t="s">
        <v>277</v>
      </c>
      <c r="D96" s="308">
        <f t="shared" si="56"/>
        <v>219.08398908690532</v>
      </c>
      <c r="E96" s="308">
        <f t="shared" si="59"/>
        <v>160.25943396226415</v>
      </c>
      <c r="F96" s="281">
        <f>HLOOKUP($C96,'[2]Interest shifted to EU'!$L$2:$AT$8,F$2,0)/E$106</f>
        <v>1.0613207547169812</v>
      </c>
      <c r="G96" s="281">
        <f>HLOOKUP($C96,'[2]Interest shifted to EU'!$L$2:$AT$8,G$2,0)/E$106</f>
        <v>0</v>
      </c>
      <c r="H96" s="281">
        <f>HLOOKUP($C96,'[2]Interest shifted to EU'!$L$2:$AT$8,H$2,0)/E$106</f>
        <v>0</v>
      </c>
      <c r="I96" s="281">
        <f>HLOOKUP($C96,'[2]Interest shifted to EU'!$L$2:$AT$8,I$2,0)/E$106</f>
        <v>4.4811320754716979</v>
      </c>
      <c r="J96" s="281">
        <f>HLOOKUP($C96,'[2]Interest shifted to EU'!$L$2:$AT$8,J$2,0)/E$106</f>
        <v>2.5943396226415096</v>
      </c>
      <c r="K96" s="281">
        <f>HLOOKUP($C96,'[2]Interest shifted to EU'!$L$2:$AT$8,K$2,0)/E$106</f>
        <v>152.12264150943398</v>
      </c>
      <c r="L96" s="308">
        <f t="shared" si="60"/>
        <v>58.824555124641158</v>
      </c>
      <c r="M96" s="290">
        <f>AC96*'[2]Non-EU tax havens'!$K$8</f>
        <v>8.3802945418713382</v>
      </c>
      <c r="N96" s="295">
        <f>AC96*'[2]Non-EU tax havens'!$K$13</f>
        <v>50.444260582769822</v>
      </c>
      <c r="O96" s="308">
        <f t="shared" si="61"/>
        <v>1058.381885581759</v>
      </c>
      <c r="P96" s="308">
        <f t="shared" si="62"/>
        <v>169.22169811320754</v>
      </c>
      <c r="Q96" s="281">
        <f>HLOOKUP($C96,'[2]Non EU income shifted to EU'!$B$2:$AI$9,Q$2+1,0)/E$106</f>
        <v>11.79245283018868</v>
      </c>
      <c r="R96" s="281">
        <f>HLOOKUP($C96,'[2]Non EU income shifted to EU'!$B$2:$AI$9,R$2+1,0)/E$106</f>
        <v>0</v>
      </c>
      <c r="S96" s="281">
        <f>HLOOKUP($C96,'[2]Non EU income shifted to EU'!$B$2:$AI$9,S$2+1,0)/E$106</f>
        <v>0.11792452830188681</v>
      </c>
      <c r="T96" s="281">
        <f>HLOOKUP($C96,'[2]Non EU income shifted to EU'!$B$2:$AI$9,T$2+1,0)/E$106</f>
        <v>63.679245283018872</v>
      </c>
      <c r="U96" s="281">
        <f>HLOOKUP($C96,'[2]Non EU income shifted to EU'!$B$2:$AI$9,U$2+1,0)/E$106</f>
        <v>0</v>
      </c>
      <c r="V96" s="281">
        <f>HLOOKUP($C96,'[2]Non EU income shifted to EU'!$B$2:$AI$9,V$2+1,0)/E$106</f>
        <v>93.632075471698116</v>
      </c>
      <c r="W96" s="308">
        <f t="shared" si="77"/>
        <v>889.16018746855138</v>
      </c>
      <c r="X96" s="290">
        <f>IFERROR(IFERROR(VLOOKUP(C96,'[2]Swiss pivot'!$E$3:$H$54,3,0),VLOOKUP($C96,'[2]Breakdown non-EU havens'!$F$4:$H$31,3,0)/$E$106),AK96*'[2]Non-EU tax havens'!$I$8)</f>
        <v>164.24431246374417</v>
      </c>
      <c r="Y96" s="289">
        <f>AE96*'[2]Non-EU tax havens'!$I$13</f>
        <v>724.91587500480728</v>
      </c>
      <c r="AA96" s="49">
        <f>+'[2]CDIS Table-4'!O96</f>
        <v>8.5751378419618787E-4</v>
      </c>
      <c r="AB96" s="52">
        <f t="shared" si="63"/>
        <v>8.5751378419618787E-4</v>
      </c>
      <c r="AC96" s="52">
        <f t="shared" si="64"/>
        <v>1.7074068990406543E-3</v>
      </c>
      <c r="AD96" s="52">
        <f t="shared" si="65"/>
        <v>8.5751378419618787E-4</v>
      </c>
      <c r="AE96" s="52">
        <f t="shared" si="66"/>
        <v>2.1684047442528265E-3</v>
      </c>
      <c r="AF96" s="52"/>
      <c r="AG96" s="49">
        <f t="shared" si="67"/>
        <v>8.5751378419618787E-4</v>
      </c>
      <c r="AH96" s="52">
        <f t="shared" si="78"/>
        <v>8.5751378419618787E-4</v>
      </c>
      <c r="AI96" s="52">
        <f t="shared" si="68"/>
        <v>1.7074068990406543E-3</v>
      </c>
      <c r="AJ96" s="52">
        <f t="shared" si="79"/>
        <v>8.5751378419618787E-4</v>
      </c>
      <c r="AK96" s="52">
        <f t="shared" si="69"/>
        <v>5.6516328951502813E-3</v>
      </c>
      <c r="AL96" s="52"/>
      <c r="AM96" s="49">
        <f>+'[2]CDIS Table-4'!U96</f>
        <v>0</v>
      </c>
      <c r="AN96" s="52">
        <f t="shared" si="70"/>
        <v>0</v>
      </c>
      <c r="AO96" s="52">
        <f t="shared" si="71"/>
        <v>0</v>
      </c>
      <c r="AP96" s="52">
        <f t="shared" si="72"/>
        <v>0</v>
      </c>
      <c r="AQ96" s="52">
        <f t="shared" si="73"/>
        <v>0</v>
      </c>
      <c r="AR96" s="52">
        <f t="shared" si="74"/>
        <v>0</v>
      </c>
      <c r="AS96" s="52">
        <f t="shared" si="75"/>
        <v>0</v>
      </c>
      <c r="AT96" s="52">
        <f t="shared" si="76"/>
        <v>0</v>
      </c>
      <c r="AU96" s="52">
        <f t="shared" si="80"/>
        <v>0</v>
      </c>
    </row>
    <row r="97" spans="3:47" s="257" customFormat="1" x14ac:dyDescent="0.35">
      <c r="C97" s="297" t="s">
        <v>280</v>
      </c>
      <c r="D97" s="308">
        <f t="shared" si="56"/>
        <v>101.5161306088074</v>
      </c>
      <c r="E97" s="308">
        <f t="shared" si="59"/>
        <v>60.023584905660385</v>
      </c>
      <c r="F97" s="281">
        <f>HLOOKUP($C97,'[2]Interest shifted to EU'!$L$2:$AT$8,F$2,0)/E$106</f>
        <v>1.5330188679245285</v>
      </c>
      <c r="G97" s="281">
        <f>HLOOKUP($C97,'[2]Interest shifted to EU'!$L$2:$AT$8,G$2,0)/E$106</f>
        <v>0</v>
      </c>
      <c r="H97" s="281">
        <f>HLOOKUP($C97,'[2]Interest shifted to EU'!$L$2:$AT$8,H$2,0)/E$106</f>
        <v>0</v>
      </c>
      <c r="I97" s="281">
        <f>HLOOKUP($C97,'[2]Interest shifted to EU'!$L$2:$AT$8,I$2,0)/E$106</f>
        <v>6.6037735849056602</v>
      </c>
      <c r="J97" s="281">
        <f>HLOOKUP($C97,'[2]Interest shifted to EU'!$L$2:$AT$8,J$2,0)/E$106</f>
        <v>0</v>
      </c>
      <c r="K97" s="281">
        <f>HLOOKUP($C97,'[2]Interest shifted to EU'!$L$2:$AT$8,K$2,0)/E$106</f>
        <v>51.886792452830193</v>
      </c>
      <c r="L97" s="308">
        <f t="shared" si="60"/>
        <v>41.492545703147023</v>
      </c>
      <c r="M97" s="290">
        <f>AC97*'[2]Non-EU tax havens'!$K$8</f>
        <v>5.9111327497107222</v>
      </c>
      <c r="N97" s="295">
        <f>AC97*'[2]Non-EU tax havens'!$K$13</f>
        <v>35.581412953436299</v>
      </c>
      <c r="O97" s="308">
        <f t="shared" si="61"/>
        <v>718.09871029900182</v>
      </c>
      <c r="P97" s="308">
        <f t="shared" si="62"/>
        <v>90.919811320754718</v>
      </c>
      <c r="Q97" s="281">
        <f>HLOOKUP($C97,'[2]Non EU income shifted to EU'!$B$2:$AI$9,Q$2+1,0)/E$106</f>
        <v>5.7783018867924536</v>
      </c>
      <c r="R97" s="281">
        <f>HLOOKUP($C97,'[2]Non EU income shifted to EU'!$B$2:$AI$9,R$2+1,0)/E$106</f>
        <v>0</v>
      </c>
      <c r="S97" s="281">
        <f>HLOOKUP($C97,'[2]Non EU income shifted to EU'!$B$2:$AI$9,S$2+1,0)/E$106</f>
        <v>21.580188679245285</v>
      </c>
      <c r="T97" s="281">
        <f>HLOOKUP($C97,'[2]Non EU income shifted to EU'!$B$2:$AI$9,T$2+1,0)/E$106</f>
        <v>14.150943396226415</v>
      </c>
      <c r="U97" s="281">
        <f>HLOOKUP($C97,'[2]Non EU income shifted to EU'!$B$2:$AI$9,U$2+1,0)/E$106</f>
        <v>0</v>
      </c>
      <c r="V97" s="281">
        <f>HLOOKUP($C97,'[2]Non EU income shifted to EU'!$B$2:$AI$9,V$2+1,0)/E$106</f>
        <v>49.410377358490564</v>
      </c>
      <c r="W97" s="308">
        <f t="shared" si="77"/>
        <v>627.17889897824705</v>
      </c>
      <c r="X97" s="290">
        <f>IFERROR(IFERROR(VLOOKUP(C97,'[2]Swiss pivot'!$E$3:$H$54,3,0),VLOOKUP($C97,'[2]Breakdown non-EU havens'!$F$4:$H$31,3,0)/$E$106),AK97*'[2]Non-EU tax havens'!$I$8)</f>
        <v>115.8515287866435</v>
      </c>
      <c r="Y97" s="289">
        <f>AE97*'[2]Non-EU tax havens'!$I$13</f>
        <v>511.32737019160351</v>
      </c>
      <c r="AA97" s="49">
        <f>+'[2]CDIS Table-4'!O97</f>
        <v>6.0485676103200138E-4</v>
      </c>
      <c r="AB97" s="52">
        <f t="shared" si="63"/>
        <v>6.0485676103200138E-4</v>
      </c>
      <c r="AC97" s="52">
        <f t="shared" si="64"/>
        <v>1.2043381992809426E-3</v>
      </c>
      <c r="AD97" s="52">
        <f t="shared" si="65"/>
        <v>6.0485676103200138E-4</v>
      </c>
      <c r="AE97" s="52">
        <f t="shared" si="66"/>
        <v>1.5295080900007074E-3</v>
      </c>
      <c r="AF97" s="52"/>
      <c r="AG97" s="49">
        <f t="shared" si="67"/>
        <v>6.0485676103200138E-4</v>
      </c>
      <c r="AH97" s="52">
        <f t="shared" si="78"/>
        <v>6.0485676103200138E-4</v>
      </c>
      <c r="AI97" s="52">
        <f t="shared" si="68"/>
        <v>1.2043381992809426E-3</v>
      </c>
      <c r="AJ97" s="52">
        <f t="shared" si="79"/>
        <v>6.0485676103200138E-4</v>
      </c>
      <c r="AK97" s="52">
        <f t="shared" si="69"/>
        <v>3.9864413033393531E-3</v>
      </c>
      <c r="AL97" s="52"/>
      <c r="AM97" s="49">
        <f>+'[2]CDIS Table-4'!U97</f>
        <v>0</v>
      </c>
      <c r="AN97" s="52">
        <f t="shared" si="70"/>
        <v>0</v>
      </c>
      <c r="AO97" s="52">
        <f t="shared" si="71"/>
        <v>0</v>
      </c>
      <c r="AP97" s="52">
        <f t="shared" si="72"/>
        <v>0</v>
      </c>
      <c r="AQ97" s="52">
        <f t="shared" si="73"/>
        <v>0</v>
      </c>
      <c r="AR97" s="52">
        <f t="shared" si="74"/>
        <v>0</v>
      </c>
      <c r="AS97" s="52">
        <f t="shared" si="75"/>
        <v>0</v>
      </c>
      <c r="AT97" s="52">
        <f t="shared" si="76"/>
        <v>0</v>
      </c>
      <c r="AU97" s="52">
        <f t="shared" si="80"/>
        <v>0</v>
      </c>
    </row>
    <row r="98" spans="3:47" ht="40" customHeight="1" x14ac:dyDescent="0.35">
      <c r="C98" s="288" t="s">
        <v>327</v>
      </c>
      <c r="D98" s="287">
        <f t="shared" si="56"/>
        <v>13888.181221388029</v>
      </c>
      <c r="E98" s="282">
        <f t="shared" si="59"/>
        <v>7250.0352621235706</v>
      </c>
      <c r="F98" s="286">
        <f>AS101*'[2]Interest shifted to EU'!$AU$3</f>
        <v>1203.8114756078717</v>
      </c>
      <c r="G98" s="286">
        <f>AS101*'[2]Interest shifted to EU'!$AU$4</f>
        <v>792.16492494553393</v>
      </c>
      <c r="H98" s="286">
        <f>AS101*'[2]Interest shifted to EU'!$AU$5</f>
        <v>-1481.9841790687406</v>
      </c>
      <c r="I98" s="285">
        <f>AS101*'[2]Interest shifted to EU'!$AU$6</f>
        <v>1596.4981370210951</v>
      </c>
      <c r="J98" s="285">
        <f>AS101*'[2]Interest shifted to EU'!$AU$7</f>
        <v>4320.8738648464005</v>
      </c>
      <c r="K98" s="285">
        <f>AS101*'[2]Interest shifted to EU'!$AU$8</f>
        <v>818.67103877140994</v>
      </c>
      <c r="L98" s="280">
        <f t="shared" si="60"/>
        <v>6638.1459592644578</v>
      </c>
      <c r="M98" s="279">
        <f>AC98*'[2]Non-EU tax havens'!$K$8</f>
        <v>945.68702190263389</v>
      </c>
      <c r="N98" s="284">
        <f>AC98*'[2]Non-EU tax havens'!$K$13</f>
        <v>5692.4589373618237</v>
      </c>
      <c r="O98" s="283">
        <f t="shared" si="61"/>
        <v>144913.89276985018</v>
      </c>
      <c r="P98" s="282">
        <f t="shared" si="62"/>
        <v>44575.265591508221</v>
      </c>
      <c r="Q98" s="281">
        <f>AU101*'[2]Non EU income shifted to EU'!$AJ$4</f>
        <v>2531.0037230457897</v>
      </c>
      <c r="R98" s="281">
        <f>AU101*'[2]Non EU income shifted to EU'!$AJ$5</f>
        <v>1294.0831871073808</v>
      </c>
      <c r="S98" s="281">
        <f>AU101*'[2]Non EU income shifted to EU'!$AJ$6</f>
        <v>29519.792938411494</v>
      </c>
      <c r="T98" s="281">
        <f>AU101*'[2]Non EU income shifted to EU'!$AJ$7</f>
        <v>1908.2515398485534</v>
      </c>
      <c r="U98" s="281">
        <f>AU101*'[2]Non EU income shifted to EU'!$AJ$8</f>
        <v>-310.71579694815262</v>
      </c>
      <c r="V98" s="281">
        <f>AU101*'[2]Non EU income shifted to EU'!$AJ$9</f>
        <v>9632.8500000431595</v>
      </c>
      <c r="W98" s="280">
        <f>SUM(X98:Y98)</f>
        <v>100338.62717834195</v>
      </c>
      <c r="X98" s="279">
        <f>AK98*'[2]Non-EU tax havens'!$I$8</f>
        <v>18534.398038424999</v>
      </c>
      <c r="Y98" s="278">
        <f>AE98*'[2]Non-EU tax havens'!$I$13</f>
        <v>81804.229139916948</v>
      </c>
      <c r="Z98" s="266"/>
      <c r="AA98" s="277">
        <f>+'[2]CDIS Table-4'!O110</f>
        <v>9.6767440901410859E-2</v>
      </c>
      <c r="AB98" s="52">
        <f t="shared" si="63"/>
        <v>9.6767440901410859E-2</v>
      </c>
      <c r="AC98" s="52">
        <f t="shared" si="64"/>
        <v>0.19267491583526219</v>
      </c>
      <c r="AD98" s="52">
        <f t="shared" si="65"/>
        <v>9.6767440901410859E-2</v>
      </c>
      <c r="AE98" s="52">
        <f t="shared" si="66"/>
        <v>0.24469691543969138</v>
      </c>
      <c r="AF98" s="52"/>
      <c r="AG98" s="49">
        <f t="shared" si="67"/>
        <v>9.6767440901410859E-2</v>
      </c>
      <c r="AH98" s="52">
        <f>+AG98</f>
        <v>9.6767440901410859E-2</v>
      </c>
      <c r="AI98" s="52">
        <f t="shared" si="68"/>
        <v>0.19267491583526219</v>
      </c>
      <c r="AJ98" s="52">
        <f>+AH98</f>
        <v>9.6767440901410859E-2</v>
      </c>
      <c r="AK98" s="52">
        <f t="shared" si="69"/>
        <v>0.63776706830499441</v>
      </c>
      <c r="AL98" s="52"/>
      <c r="AM98" s="49"/>
      <c r="AN98" s="52"/>
      <c r="AO98" s="52"/>
      <c r="AP98" s="52"/>
      <c r="AQ98" s="52"/>
      <c r="AR98" s="52"/>
      <c r="AS98" s="52"/>
      <c r="AT98" s="52"/>
      <c r="AU98" s="52"/>
    </row>
    <row r="99" spans="3:47" ht="40" customHeight="1" x14ac:dyDescent="0.35">
      <c r="C99" s="276" t="s">
        <v>288</v>
      </c>
      <c r="D99" s="273">
        <f t="shared" ref="D99:Y99" si="81">SUMIF(D9:D98,"&gt;-999999")-D44</f>
        <v>140567.30425116906</v>
      </c>
      <c r="E99" s="272">
        <f t="shared" si="81"/>
        <v>84407.580188679291</v>
      </c>
      <c r="F99" s="275">
        <f t="shared" si="81"/>
        <v>8991.5301886792477</v>
      </c>
      <c r="G99" s="269">
        <f t="shared" si="81"/>
        <v>1031.3094339622642</v>
      </c>
      <c r="H99" s="269">
        <f t="shared" si="81"/>
        <v>8505.6688679245326</v>
      </c>
      <c r="I99" s="269">
        <f t="shared" si="81"/>
        <v>14785.66037735849</v>
      </c>
      <c r="J99" s="269">
        <f t="shared" si="81"/>
        <v>7892.846226415094</v>
      </c>
      <c r="K99" s="269">
        <f t="shared" si="81"/>
        <v>43200.565094339647</v>
      </c>
      <c r="L99" s="272">
        <f t="shared" si="81"/>
        <v>60329.65330777286</v>
      </c>
      <c r="M99" s="275">
        <f t="shared" si="81"/>
        <v>11435.254042744738</v>
      </c>
      <c r="N99" s="274">
        <f t="shared" si="81"/>
        <v>48894.399265028122</v>
      </c>
      <c r="O99" s="273">
        <f t="shared" si="81"/>
        <v>1070285.5748186591</v>
      </c>
      <c r="P99" s="272">
        <f t="shared" si="81"/>
        <v>482313.24716981134</v>
      </c>
      <c r="Q99" s="268">
        <f t="shared" si="81"/>
        <v>68499.827358490569</v>
      </c>
      <c r="R99" s="271">
        <f t="shared" si="81"/>
        <v>3699.4943396226413</v>
      </c>
      <c r="S99" s="271">
        <f t="shared" si="81"/>
        <v>157778.62641509433</v>
      </c>
      <c r="T99" s="271">
        <f t="shared" si="81"/>
        <v>94011.325471698103</v>
      </c>
      <c r="U99" s="271">
        <f t="shared" si="81"/>
        <v>5262.3452830188689</v>
      </c>
      <c r="V99" s="270">
        <f t="shared" si="81"/>
        <v>153061.6283018867</v>
      </c>
      <c r="W99" s="269">
        <f t="shared" si="81"/>
        <v>607796.73802620638</v>
      </c>
      <c r="X99" s="268">
        <f t="shared" si="81"/>
        <v>93096.143750922594</v>
      </c>
      <c r="Y99" s="267">
        <f t="shared" si="81"/>
        <v>514700.59427528392</v>
      </c>
      <c r="Z99" s="266"/>
      <c r="AA99" s="49"/>
      <c r="AB99" s="52"/>
      <c r="AC99" s="52"/>
      <c r="AD99" s="52"/>
      <c r="AE99" s="52"/>
      <c r="AF99" s="52"/>
      <c r="AG99" s="49"/>
      <c r="AH99" s="52"/>
      <c r="AI99" s="52"/>
      <c r="AJ99" s="52"/>
      <c r="AK99" s="52"/>
      <c r="AL99" s="52"/>
      <c r="AM99" s="49"/>
      <c r="AN99" s="52"/>
      <c r="AO99" s="52"/>
      <c r="AP99" s="52"/>
      <c r="AQ99" s="52"/>
      <c r="AR99" s="52"/>
      <c r="AS99" s="52"/>
      <c r="AT99" s="52"/>
      <c r="AU99" s="52"/>
    </row>
    <row r="100" spans="3:47" ht="40" customHeight="1" thickBot="1" x14ac:dyDescent="0.4">
      <c r="C100" s="264" t="s">
        <v>387</v>
      </c>
      <c r="D100" s="263">
        <f>+E100+L100</f>
        <v>92901.653770598365</v>
      </c>
      <c r="E100" s="262">
        <f t="shared" ref="E100:N100" si="82">+E98+E44+E8</f>
        <v>60200.504716981144</v>
      </c>
      <c r="F100" s="259">
        <f t="shared" si="82"/>
        <v>7665.9405660377361</v>
      </c>
      <c r="G100" s="260">
        <f t="shared" si="82"/>
        <v>1020.5783018867925</v>
      </c>
      <c r="H100" s="260">
        <f t="shared" si="82"/>
        <v>1358.9707547169846</v>
      </c>
      <c r="I100" s="260">
        <f t="shared" si="82"/>
        <v>11190.495283018867</v>
      </c>
      <c r="J100" s="260">
        <f t="shared" si="82"/>
        <v>6908.1764150943391</v>
      </c>
      <c r="K100" s="260">
        <f t="shared" si="82"/>
        <v>32056.343396226417</v>
      </c>
      <c r="L100" s="262">
        <f t="shared" si="82"/>
        <v>32701.14905361722</v>
      </c>
      <c r="M100" s="259">
        <f t="shared" si="82"/>
        <v>6494.0491221851371</v>
      </c>
      <c r="N100" s="261">
        <f t="shared" si="82"/>
        <v>26207.099931432094</v>
      </c>
      <c r="O100" s="263">
        <f>+P100+W100</f>
        <v>831722.13869319332</v>
      </c>
      <c r="P100" s="262">
        <f t="shared" ref="P100:Y100" si="83">+P98+P44+P8</f>
        <v>375661.94999999995</v>
      </c>
      <c r="Q100" s="259">
        <f t="shared" si="83"/>
        <v>44955.487735849048</v>
      </c>
      <c r="R100" s="260">
        <f t="shared" si="83"/>
        <v>3432.1594339622652</v>
      </c>
      <c r="S100" s="260">
        <f t="shared" si="83"/>
        <v>143124.97075471698</v>
      </c>
      <c r="T100" s="260">
        <f t="shared" si="83"/>
        <v>76992.339622641492</v>
      </c>
      <c r="U100" s="260">
        <f t="shared" si="83"/>
        <v>4100.7886792452837</v>
      </c>
      <c r="V100" s="261">
        <f t="shared" si="83"/>
        <v>103056.20377358486</v>
      </c>
      <c r="W100" s="260">
        <f t="shared" si="83"/>
        <v>456060.18869319337</v>
      </c>
      <c r="X100" s="259">
        <f t="shared" si="83"/>
        <v>73569.63585655803</v>
      </c>
      <c r="Y100" s="258">
        <f t="shared" si="83"/>
        <v>382490.55283663527</v>
      </c>
      <c r="AA100" s="49"/>
      <c r="AB100" s="52"/>
      <c r="AC100" s="52"/>
      <c r="AD100" s="52"/>
      <c r="AE100" s="52"/>
      <c r="AF100" s="52"/>
      <c r="AG100" s="49"/>
      <c r="AH100" s="52"/>
      <c r="AI100" s="52"/>
      <c r="AJ100" s="52"/>
      <c r="AK100" s="52"/>
      <c r="AL100" s="52"/>
      <c r="AM100" s="49"/>
      <c r="AN100" s="52"/>
      <c r="AO100" s="52"/>
      <c r="AP100" s="52"/>
      <c r="AQ100" s="52"/>
      <c r="AR100" s="52"/>
      <c r="AS100" s="52"/>
      <c r="AT100" s="52"/>
      <c r="AU100" s="52"/>
    </row>
    <row r="101" spans="3:47" s="257" customFormat="1" ht="16" thickTop="1" x14ac:dyDescent="0.35">
      <c r="C101" s="253"/>
      <c r="D101" s="253"/>
      <c r="E101" s="254"/>
      <c r="F101" s="253"/>
      <c r="G101" s="253"/>
      <c r="H101" s="253"/>
      <c r="I101" s="253"/>
      <c r="J101" s="253"/>
      <c r="K101" s="253"/>
      <c r="L101" s="253"/>
      <c r="N101" s="253"/>
      <c r="O101" s="253"/>
      <c r="P101" s="253"/>
      <c r="Q101" s="253"/>
      <c r="R101" s="253"/>
      <c r="S101" s="253"/>
      <c r="T101" s="253"/>
      <c r="U101" s="253"/>
      <c r="V101" s="253"/>
      <c r="W101" s="253"/>
      <c r="X101" s="253"/>
      <c r="Y101" s="253"/>
      <c r="AL101" s="52"/>
      <c r="AM101" s="277">
        <f>+'[2]CDIS Table-4'!U110</f>
        <v>0</v>
      </c>
      <c r="AN101" s="52">
        <f>+AM101</f>
        <v>0</v>
      </c>
      <c r="AO101" s="52">
        <f>+AN101/$AB$102</f>
        <v>0</v>
      </c>
      <c r="AP101" s="52">
        <f>+AN101</f>
        <v>0</v>
      </c>
      <c r="AQ101" s="52">
        <f>+AP101/$AD$102</f>
        <v>0</v>
      </c>
      <c r="AR101" s="52">
        <f>+AB98</f>
        <v>9.6767440901410859E-2</v>
      </c>
      <c r="AS101" s="52">
        <f>+AR101/$AR$102</f>
        <v>0.94327807209518211</v>
      </c>
      <c r="AT101" s="52">
        <f>+AD98</f>
        <v>9.6767440901410859E-2</v>
      </c>
      <c r="AU101" s="52">
        <f>+AT101/$AT$102</f>
        <v>0.94327807209518211</v>
      </c>
    </row>
    <row r="102" spans="3:47" s="257" customFormat="1" x14ac:dyDescent="0.35">
      <c r="C102" s="253"/>
      <c r="D102" s="253"/>
      <c r="E102" s="254"/>
      <c r="F102" s="253"/>
      <c r="G102" s="253"/>
      <c r="H102" s="253"/>
      <c r="I102" s="253"/>
      <c r="J102" s="253"/>
      <c r="K102" s="253"/>
      <c r="L102" s="253"/>
      <c r="N102" s="253"/>
      <c r="O102" s="253"/>
      <c r="P102" s="253"/>
      <c r="Q102" s="253"/>
      <c r="R102" s="253"/>
      <c r="S102" s="253"/>
      <c r="T102" s="253"/>
      <c r="U102" s="253"/>
      <c r="V102" s="253"/>
      <c r="W102" s="253"/>
      <c r="X102" s="253"/>
      <c r="Y102" s="253"/>
      <c r="AA102" s="265"/>
      <c r="AB102" s="52">
        <f>+SUM(AB9:AB100)</f>
        <v>0.5022316500407733</v>
      </c>
      <c r="AC102" s="52">
        <f>+AB102/$AB$102</f>
        <v>1</v>
      </c>
      <c r="AD102" s="52">
        <f>+SUM(AD9:AD100)</f>
        <v>0.39545836010041741</v>
      </c>
      <c r="AE102" s="52">
        <f>SUM(AE9:AE100)</f>
        <v>1</v>
      </c>
      <c r="AF102" s="52"/>
      <c r="AG102" s="265"/>
      <c r="AH102" s="52">
        <f>+SUM(AH9:AH100)</f>
        <v>0.45838464174151056</v>
      </c>
      <c r="AI102" s="52">
        <f>+AH102/$AH$102</f>
        <v>1</v>
      </c>
      <c r="AJ102" s="52">
        <f>+SUM(AJ9:AJ100)</f>
        <v>0.15172850043604716</v>
      </c>
      <c r="AK102" s="52">
        <f>SUM(AK9:AK100)</f>
        <v>1</v>
      </c>
      <c r="AL102" s="52"/>
      <c r="AM102" s="265"/>
      <c r="AN102" s="52" t="e">
        <f>+SUM(AN9:AN101)</f>
        <v>#REF!</v>
      </c>
      <c r="AO102" s="52" t="e">
        <f>+AN102/$AB$102</f>
        <v>#REF!</v>
      </c>
      <c r="AP102" s="52" t="e">
        <f>+SUM(AP9:AP101)</f>
        <v>#REF!</v>
      </c>
      <c r="AQ102" s="52" t="e">
        <f>SUM(AQ9:AQ101)</f>
        <v>#REF!</v>
      </c>
      <c r="AR102" s="52">
        <f>+SUM(AR9:AR101)</f>
        <v>0.10258633563533795</v>
      </c>
      <c r="AS102" s="52">
        <f>+AR102/$AB$102</f>
        <v>0.20426099316323365</v>
      </c>
      <c r="AT102" s="52">
        <f>+SUM(AT9:AT101)</f>
        <v>0.10258633563533795</v>
      </c>
      <c r="AU102" s="52">
        <f>+SUM(AU9:AU101)</f>
        <v>1</v>
      </c>
    </row>
    <row r="103" spans="3:47" s="257" customFormat="1" x14ac:dyDescent="0.35">
      <c r="C103" s="253"/>
      <c r="D103" s="253"/>
      <c r="E103" s="254"/>
      <c r="F103" s="253"/>
      <c r="G103" s="253"/>
      <c r="H103" s="253"/>
      <c r="I103" s="253"/>
      <c r="J103" s="253"/>
      <c r="K103" s="253"/>
      <c r="L103" s="253"/>
      <c r="N103" s="253"/>
      <c r="O103" s="253"/>
      <c r="P103" s="253"/>
      <c r="Q103" s="253"/>
      <c r="R103" s="253"/>
      <c r="S103" s="253"/>
      <c r="T103" s="253"/>
      <c r="U103" s="253"/>
      <c r="V103" s="253"/>
      <c r="W103" s="253"/>
      <c r="X103" s="253"/>
      <c r="Y103" s="253"/>
    </row>
    <row r="104" spans="3:47" s="257" customFormat="1" x14ac:dyDescent="0.35">
      <c r="C104" s="253"/>
      <c r="D104" s="253"/>
      <c r="E104" s="254"/>
      <c r="F104" s="253"/>
      <c r="G104" s="253"/>
      <c r="H104" s="253"/>
      <c r="I104" s="253"/>
      <c r="J104" s="253"/>
      <c r="K104" s="253"/>
      <c r="L104" s="253"/>
      <c r="N104" s="253"/>
      <c r="O104" s="253"/>
      <c r="P104" s="253"/>
      <c r="Q104" s="253"/>
      <c r="R104" s="253"/>
      <c r="S104" s="253"/>
      <c r="T104" s="253"/>
      <c r="U104" s="253"/>
      <c r="V104" s="253"/>
      <c r="W104" s="253"/>
      <c r="X104" s="253"/>
      <c r="Y104" s="253"/>
    </row>
    <row r="105" spans="3:47" s="257" customFormat="1" x14ac:dyDescent="0.35">
      <c r="C105" s="253"/>
      <c r="D105" s="253"/>
      <c r="E105" s="254"/>
      <c r="F105" s="253"/>
      <c r="G105" s="253"/>
      <c r="H105" s="253"/>
      <c r="I105" s="253"/>
      <c r="J105" s="253"/>
      <c r="K105" s="253"/>
      <c r="L105" s="253"/>
      <c r="N105" s="253"/>
      <c r="O105" s="253"/>
      <c r="P105" s="253"/>
      <c r="Q105" s="253"/>
      <c r="R105" s="253"/>
      <c r="S105" s="253"/>
      <c r="T105" s="253"/>
      <c r="U105" s="253"/>
      <c r="V105" s="253"/>
      <c r="W105" s="253"/>
      <c r="X105" s="253"/>
      <c r="Y105" s="253"/>
    </row>
    <row r="106" spans="3:47" ht="20" x14ac:dyDescent="0.4">
      <c r="C106" s="1" t="s">
        <v>291</v>
      </c>
      <c r="D106" s="1"/>
      <c r="E106" s="545">
        <v>0.84799999999999998</v>
      </c>
    </row>
    <row r="111" spans="3:47" x14ac:dyDescent="0.35">
      <c r="M111" s="256">
        <f>+M9+M13+M22++M12+M24+M26+M27+M30+M32+M33+M41+M43+M44+M98</f>
        <v>4044.2849712417419</v>
      </c>
    </row>
    <row r="112" spans="3:47" x14ac:dyDescent="0.35">
      <c r="M112" s="255">
        <f>+M99-M111</f>
        <v>7390.9690715029965</v>
      </c>
    </row>
  </sheetData>
  <mergeCells count="20">
    <mergeCell ref="AT8:AU8"/>
    <mergeCell ref="AB8:AC8"/>
    <mergeCell ref="AR8:AS8"/>
    <mergeCell ref="AD8:AE8"/>
    <mergeCell ref="W6:W7"/>
    <mergeCell ref="AA6:AU6"/>
    <mergeCell ref="AN8:AO8"/>
    <mergeCell ref="AP8:AQ8"/>
    <mergeCell ref="AH8:AI8"/>
    <mergeCell ref="AJ8:AK8"/>
    <mergeCell ref="AA7:AE7"/>
    <mergeCell ref="AG7:AK7"/>
    <mergeCell ref="C3:Y3"/>
    <mergeCell ref="P6:P7"/>
    <mergeCell ref="E6:E7"/>
    <mergeCell ref="L6:L7"/>
    <mergeCell ref="D5:N5"/>
    <mergeCell ref="D6:D7"/>
    <mergeCell ref="O6:O7"/>
    <mergeCell ref="O5:Y5"/>
  </mergeCells>
  <pageMargins left="0.7" right="0.7" top="0.75" bottom="0.75" header="0.3" footer="0.3"/>
  <pageSetup scale="31" fitToHeight="0"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pageSetUpPr fitToPage="1"/>
  </sheetPr>
  <dimension ref="A1:AV108"/>
  <sheetViews>
    <sheetView zoomScale="70" zoomScaleNormal="70" zoomScalePageLayoutView="70" workbookViewId="0">
      <pane xSplit="3" ySplit="7" topLeftCell="D49" activePane="bottomRight" state="frozen"/>
      <selection activeCell="G29" sqref="G29"/>
      <selection pane="topRight" activeCell="G29" sqref="G29"/>
      <selection pane="bottomLeft" activeCell="G29" sqref="G29"/>
      <selection pane="bottomRight" activeCell="D100" activeCellId="1" sqref="O100 D100"/>
    </sheetView>
  </sheetViews>
  <sheetFormatPr defaultColWidth="10.81640625" defaultRowHeight="15.5" x14ac:dyDescent="0.35"/>
  <cols>
    <col min="1" max="2" width="10.81640625" style="253" hidden="1" customWidth="1"/>
    <col min="3" max="3" width="19" style="253" customWidth="1"/>
    <col min="4" max="25" width="11" style="253" customWidth="1"/>
    <col min="26" max="44" width="10.81640625" style="253"/>
    <col min="45" max="45" width="16" style="253" customWidth="1"/>
    <col min="46" max="16384" width="10.81640625" style="253"/>
  </cols>
  <sheetData>
    <row r="1" spans="3:48" ht="16" thickBot="1" x14ac:dyDescent="0.4">
      <c r="N1" s="318"/>
      <c r="O1" s="318"/>
      <c r="Y1" s="318"/>
    </row>
    <row r="2" spans="3:48" ht="16" hidden="1" thickBot="1" x14ac:dyDescent="0.4">
      <c r="F2" s="253">
        <v>2</v>
      </c>
      <c r="G2" s="253">
        <v>3</v>
      </c>
      <c r="H2" s="253">
        <v>4</v>
      </c>
      <c r="I2" s="253">
        <v>5</v>
      </c>
      <c r="J2" s="253">
        <v>6</v>
      </c>
      <c r="K2" s="253">
        <v>7</v>
      </c>
      <c r="Q2" s="253">
        <v>2</v>
      </c>
      <c r="R2" s="253">
        <v>3</v>
      </c>
      <c r="S2" s="253">
        <v>4</v>
      </c>
      <c r="T2" s="253">
        <v>5</v>
      </c>
      <c r="U2" s="253">
        <v>6</v>
      </c>
      <c r="V2" s="253">
        <v>7</v>
      </c>
    </row>
    <row r="3" spans="3:48" ht="32" customHeight="1" thickTop="1" x14ac:dyDescent="0.35">
      <c r="C3" s="618" t="s">
        <v>404</v>
      </c>
      <c r="D3" s="619"/>
      <c r="E3" s="619"/>
      <c r="F3" s="619"/>
      <c r="G3" s="619"/>
      <c r="H3" s="619"/>
      <c r="I3" s="619"/>
      <c r="J3" s="619"/>
      <c r="K3" s="619"/>
      <c r="L3" s="619"/>
      <c r="M3" s="619"/>
      <c r="N3" s="619"/>
      <c r="O3" s="619"/>
      <c r="P3" s="619"/>
      <c r="Q3" s="619"/>
      <c r="R3" s="619"/>
      <c r="S3" s="619"/>
      <c r="T3" s="619"/>
      <c r="U3" s="619"/>
      <c r="V3" s="619"/>
      <c r="W3" s="619"/>
      <c r="X3" s="619"/>
      <c r="Y3" s="620"/>
    </row>
    <row r="4" spans="3:48" ht="32" customHeight="1" x14ac:dyDescent="0.35">
      <c r="C4" s="333"/>
      <c r="D4" s="4" t="s">
        <v>1</v>
      </c>
      <c r="E4" s="4" t="s">
        <v>2</v>
      </c>
      <c r="F4" s="4" t="s">
        <v>3</v>
      </c>
      <c r="G4" s="4" t="s">
        <v>4</v>
      </c>
      <c r="H4" s="4" t="s">
        <v>5</v>
      </c>
      <c r="I4" s="4" t="s">
        <v>6</v>
      </c>
      <c r="J4" s="4" t="s">
        <v>7</v>
      </c>
      <c r="K4" s="4" t="s">
        <v>8</v>
      </c>
      <c r="L4" s="4" t="s">
        <v>9</v>
      </c>
      <c r="M4" s="4" t="s">
        <v>10</v>
      </c>
      <c r="N4" s="4" t="s">
        <v>11</v>
      </c>
      <c r="O4" s="4" t="s">
        <v>12</v>
      </c>
      <c r="P4" s="4" t="s">
        <v>13</v>
      </c>
      <c r="Q4" s="4" t="s">
        <v>14</v>
      </c>
      <c r="R4" s="4" t="s">
        <v>331</v>
      </c>
      <c r="S4" s="4" t="s">
        <v>330</v>
      </c>
      <c r="T4" s="4" t="s">
        <v>376</v>
      </c>
      <c r="U4" s="4" t="s">
        <v>377</v>
      </c>
      <c r="V4" s="4" t="s">
        <v>378</v>
      </c>
      <c r="W4" s="4" t="s">
        <v>379</v>
      </c>
      <c r="X4" s="4" t="s">
        <v>380</v>
      </c>
      <c r="Y4" s="332" t="s">
        <v>381</v>
      </c>
    </row>
    <row r="5" spans="3:48" ht="21" customHeight="1" x14ac:dyDescent="0.35">
      <c r="C5" s="297"/>
      <c r="D5" s="623" t="s">
        <v>400</v>
      </c>
      <c r="E5" s="624"/>
      <c r="F5" s="624"/>
      <c r="G5" s="624"/>
      <c r="H5" s="624"/>
      <c r="I5" s="624"/>
      <c r="J5" s="624"/>
      <c r="K5" s="624"/>
      <c r="L5" s="624"/>
      <c r="M5" s="624"/>
      <c r="N5" s="625"/>
      <c r="O5" s="623" t="s">
        <v>403</v>
      </c>
      <c r="P5" s="624"/>
      <c r="Q5" s="624"/>
      <c r="R5" s="624"/>
      <c r="S5" s="624"/>
      <c r="T5" s="624"/>
      <c r="U5" s="624"/>
      <c r="V5" s="624"/>
      <c r="W5" s="624"/>
      <c r="X5" s="624"/>
      <c r="Y5" s="626"/>
    </row>
    <row r="6" spans="3:48" ht="85" customHeight="1" x14ac:dyDescent="0.35">
      <c r="C6" s="297"/>
      <c r="D6" s="621" t="s">
        <v>398</v>
      </c>
      <c r="E6" s="621" t="s">
        <v>397</v>
      </c>
      <c r="F6" s="329" t="s">
        <v>34</v>
      </c>
      <c r="G6" s="329" t="s">
        <v>96</v>
      </c>
      <c r="H6" s="329" t="s">
        <v>46</v>
      </c>
      <c r="I6" s="331" t="s">
        <v>52</v>
      </c>
      <c r="J6" s="329" t="s">
        <v>109</v>
      </c>
      <c r="K6" s="331" t="s">
        <v>54</v>
      </c>
      <c r="L6" s="621" t="s">
        <v>396</v>
      </c>
      <c r="M6" s="331" t="s">
        <v>63</v>
      </c>
      <c r="N6" s="330" t="s">
        <v>395</v>
      </c>
      <c r="O6" s="621" t="s">
        <v>398</v>
      </c>
      <c r="P6" s="621" t="s">
        <v>397</v>
      </c>
      <c r="Q6" s="329" t="s">
        <v>34</v>
      </c>
      <c r="R6" s="329" t="s">
        <v>96</v>
      </c>
      <c r="S6" s="329" t="s">
        <v>46</v>
      </c>
      <c r="T6" s="331" t="s">
        <v>52</v>
      </c>
      <c r="U6" s="329" t="s">
        <v>109</v>
      </c>
      <c r="V6" s="329" t="s">
        <v>54</v>
      </c>
      <c r="W6" s="628" t="s">
        <v>396</v>
      </c>
      <c r="X6" s="331" t="s">
        <v>63</v>
      </c>
      <c r="Y6" s="328" t="s">
        <v>395</v>
      </c>
      <c r="AA6" s="629" t="s">
        <v>394</v>
      </c>
      <c r="AB6" s="629"/>
      <c r="AC6" s="629"/>
      <c r="AD6" s="629"/>
      <c r="AE6" s="629"/>
      <c r="AF6" s="629"/>
      <c r="AG6" s="629"/>
      <c r="AH6" s="629"/>
      <c r="AI6" s="629"/>
      <c r="AJ6" s="629"/>
      <c r="AK6" s="629"/>
      <c r="AL6" s="629"/>
      <c r="AM6" s="629"/>
      <c r="AN6" s="629"/>
      <c r="AO6" s="629"/>
      <c r="AP6" s="629"/>
      <c r="AQ6" s="629"/>
      <c r="AR6" s="629"/>
      <c r="AS6" s="629"/>
      <c r="AT6" s="629"/>
      <c r="AU6" s="629"/>
      <c r="AV6" s="629"/>
    </row>
    <row r="7" spans="3:48" ht="13.5" customHeight="1" x14ac:dyDescent="0.35">
      <c r="C7" s="297"/>
      <c r="D7" s="621"/>
      <c r="E7" s="621"/>
      <c r="F7" s="329"/>
      <c r="G7" s="329"/>
      <c r="H7" s="329"/>
      <c r="I7" s="329"/>
      <c r="J7" s="329"/>
      <c r="K7" s="329"/>
      <c r="L7" s="622"/>
      <c r="M7" s="329"/>
      <c r="N7" s="330"/>
      <c r="O7" s="621"/>
      <c r="P7" s="621"/>
      <c r="Q7" s="329"/>
      <c r="R7" s="329"/>
      <c r="S7" s="329"/>
      <c r="T7" s="329"/>
      <c r="U7" s="329"/>
      <c r="V7" s="329"/>
      <c r="W7" s="622"/>
      <c r="X7" s="329"/>
      <c r="Y7" s="328"/>
      <c r="Z7" s="266"/>
      <c r="AB7" s="630" t="s">
        <v>440</v>
      </c>
      <c r="AC7" s="630"/>
      <c r="AD7" s="630"/>
      <c r="AE7" s="630"/>
      <c r="AG7" s="630" t="s">
        <v>441</v>
      </c>
      <c r="AH7" s="630"/>
      <c r="AI7" s="630"/>
      <c r="AJ7" s="630"/>
      <c r="AK7" s="512"/>
    </row>
    <row r="8" spans="3:48" ht="40" customHeight="1" x14ac:dyDescent="0.35">
      <c r="C8" s="327" t="s">
        <v>31</v>
      </c>
      <c r="D8" s="325">
        <f t="shared" ref="D8:D39" si="0">+E8+L8</f>
        <v>62487.227900636841</v>
      </c>
      <c r="E8" s="325">
        <f t="shared" ref="E8:K8" si="1">SUMIF(E9:E43,"&gt;-999999999")-(E11+E23+E29+E31+E40)</f>
        <v>44320.835945679646</v>
      </c>
      <c r="F8" s="324">
        <f t="shared" si="1"/>
        <v>4980.5682081184823</v>
      </c>
      <c r="G8" s="324">
        <f t="shared" si="1"/>
        <v>31.474087036117691</v>
      </c>
      <c r="H8" s="324">
        <f t="shared" si="1"/>
        <v>2627.0911898054537</v>
      </c>
      <c r="I8" s="324">
        <f t="shared" si="1"/>
        <v>8944.8713792379858</v>
      </c>
      <c r="J8" s="324">
        <f t="shared" si="1"/>
        <v>653.54784514698383</v>
      </c>
      <c r="K8" s="324">
        <f t="shared" si="1"/>
        <v>27083.283236334613</v>
      </c>
      <c r="L8" s="325">
        <f>SUMIF(L9:L43,"&gt;-999999999")-(L11+L23+L29+L31)</f>
        <v>18166.391954957195</v>
      </c>
      <c r="M8" s="324">
        <f>SUMIF(M9:M43,"&gt;-999999999")-(M11+M23+M29+M31)</f>
        <v>4199.2691178927089</v>
      </c>
      <c r="N8" s="326">
        <f>SUMIF(N9:N43,"&gt;-999999999")-(N11+N23+N29+N31)</f>
        <v>13967.122837064482</v>
      </c>
      <c r="O8" s="325">
        <f t="shared" ref="O8:O39" si="2">+P8+W8</f>
        <v>464309.99828442035</v>
      </c>
      <c r="P8" s="325">
        <f t="shared" ref="P8:V8" si="3">SUMIF(P9:P43,"&gt;-999999999")-(P11+P23+P29+P31)-P40</f>
        <v>248479.36962817903</v>
      </c>
      <c r="Q8" s="324">
        <f t="shared" si="3"/>
        <v>23466.140713784145</v>
      </c>
      <c r="R8" s="324">
        <f t="shared" si="3"/>
        <v>862.07861437516681</v>
      </c>
      <c r="S8" s="324">
        <f t="shared" si="3"/>
        <v>89982.019215279768</v>
      </c>
      <c r="T8" s="324">
        <f t="shared" si="3"/>
        <v>71396.815877169749</v>
      </c>
      <c r="U8" s="324">
        <f t="shared" si="3"/>
        <v>3822.3846566719244</v>
      </c>
      <c r="V8" s="324">
        <f t="shared" si="3"/>
        <v>58949.930550898265</v>
      </c>
      <c r="W8" s="325">
        <f>SUMIF(W9:W43,"&gt;-999999999")-(W11+W23+W29+W31)</f>
        <v>215830.62865624134</v>
      </c>
      <c r="X8" s="324">
        <f>SUMIF(X9:X43,"&gt;-999999999")-(X11+X23+X29+X31)</f>
        <v>31689.500494112093</v>
      </c>
      <c r="Y8" s="323">
        <f>SUMIF(Y9:Y43,"&gt;-999999999")-(Y11+Y23+Y29+Y31)</f>
        <v>184141.12816212926</v>
      </c>
      <c r="Z8" s="266"/>
      <c r="AA8" s="49"/>
      <c r="AB8" s="631" t="s">
        <v>393</v>
      </c>
      <c r="AC8" s="631"/>
      <c r="AD8" s="631" t="s">
        <v>392</v>
      </c>
      <c r="AE8" s="631"/>
      <c r="AG8" s="49"/>
      <c r="AH8" s="511" t="s">
        <v>393</v>
      </c>
      <c r="AI8" s="627" t="s">
        <v>392</v>
      </c>
      <c r="AJ8" s="627"/>
      <c r="AK8" s="511"/>
      <c r="AL8" s="49"/>
      <c r="AM8" s="631" t="s">
        <v>393</v>
      </c>
      <c r="AN8" s="631"/>
      <c r="AO8" s="631" t="s">
        <v>392</v>
      </c>
      <c r="AP8" s="631"/>
      <c r="AQ8" s="631" t="s">
        <v>391</v>
      </c>
      <c r="AR8" s="631"/>
      <c r="AS8" s="631" t="s">
        <v>390</v>
      </c>
      <c r="AT8" s="631"/>
    </row>
    <row r="9" spans="3:48" ht="14" customHeight="1" x14ac:dyDescent="0.35">
      <c r="C9" s="311" t="s">
        <v>32</v>
      </c>
      <c r="D9" s="308">
        <f t="shared" si="0"/>
        <v>2881.1613197215197</v>
      </c>
      <c r="E9" s="308">
        <f t="shared" ref="E9:E43" si="4">SUM(F9:K9)</f>
        <v>1414.3347947520697</v>
      </c>
      <c r="F9" s="281">
        <f>HLOOKUP($C9,'[2]Interest shifted to EU'!$L$12:$AT$18,F$2,0)/E106</f>
        <v>80.96807194538917</v>
      </c>
      <c r="G9" s="281">
        <f>HLOOKUP($C9,'[2]Interest shifted to EU'!$L$12:$AT$18,G$2,0)/E106</f>
        <v>0</v>
      </c>
      <c r="H9" s="281">
        <f>HLOOKUP($C9,'[2]Interest shifted to EU'!$L$12:$AT$18,H$2,0)/E106</f>
        <v>0</v>
      </c>
      <c r="I9" s="281">
        <f>HLOOKUP($C9,'[2]Interest shifted to EU'!$L$12:$AT$18,I$2,0)/E106</f>
        <v>209.22749484391051</v>
      </c>
      <c r="J9" s="281">
        <f>HLOOKUP($C9,'[2]Interest shifted to EU'!$L$12:$AT$18,J$2,0)/E106</f>
        <v>29.484528996780057</v>
      </c>
      <c r="K9" s="281">
        <f>HLOOKUP($C9,'[2]Interest shifted to EU'!$L$12:$AT$18,K$2,0)/E106</f>
        <v>1094.6546989659901</v>
      </c>
      <c r="L9" s="308">
        <f t="shared" ref="L9:L39" si="5">SUM(M9:N9)</f>
        <v>1466.82652496945</v>
      </c>
      <c r="M9" s="290">
        <f>AC9*'[2]Non-EU tax havens'!$M$8</f>
        <v>186.15949601874311</v>
      </c>
      <c r="N9" s="295">
        <f>AC9*'[2]Non-EU tax havens'!$M$13</f>
        <v>1280.6670289507069</v>
      </c>
      <c r="O9" s="308">
        <f t="shared" si="2"/>
        <v>22485.788908748749</v>
      </c>
      <c r="P9" s="308">
        <f t="shared" ref="P9:P43" si="6">SUM(Q9:V9)</f>
        <v>5041.2084607491925</v>
      </c>
      <c r="Q9" s="281">
        <f>HLOOKUP($C9,'[2]Non EU income shifted to EU'!$A$2:$AI$18,Q$2+10,0)/E106</f>
        <v>141.29808964272027</v>
      </c>
      <c r="R9" s="281">
        <f>HLOOKUP($C9,'[2]Non EU income shifted to EU'!$A$2:$AI$18,R$2+10,0)/E106</f>
        <v>0.90722990420374594</v>
      </c>
      <c r="S9" s="281">
        <f>HLOOKUP($C9,'[2]Non EU income shifted to EU'!$A$2:$AI$18,S$2+10,0)/E106</f>
        <v>3328.3556277053649</v>
      </c>
      <c r="T9" s="281">
        <f>HLOOKUP($C9,'[2]Non EU income shifted to EU'!$A$2:$AI$18,T$2+10,0)/E106</f>
        <v>400.12648663985954</v>
      </c>
      <c r="U9" s="281">
        <f>HLOOKUP($C9,'[2]Non EU income shifted to EU'!$A$2:$AI$18,U$2+10,0)/E106</f>
        <v>24.91854245756155</v>
      </c>
      <c r="V9" s="281">
        <f>HLOOKUP($C9,'[2]Non EU income shifted to EU'!$A$2:$AI$18,V$2+10,0)/E106</f>
        <v>1145.6024843994824</v>
      </c>
      <c r="W9" s="308">
        <f t="shared" ref="W9:W39" si="7">SUM(X9:Y9)</f>
        <v>17444.580447999557</v>
      </c>
      <c r="X9" s="290">
        <f>IFERROR(IFERROR(VLOOKUP(C9,'[2]Swiss pivot'!$E$3:$H$54,4,0),VLOOKUP($C9,'[2]Breakdown non-EU havens'!$F$59:$H$86,3,0)/$E$106),AJ9*'[2]Non-EU tax havens'!$I$8)</f>
        <v>684.08591442727038</v>
      </c>
      <c r="Y9" s="289">
        <f>AE9*'[2]Non-EU tax havens'!$O$13</f>
        <v>16760.494533572288</v>
      </c>
      <c r="Z9" s="266"/>
      <c r="AA9" s="49">
        <f>+'[2]CDIS Table-4'!O6</f>
        <v>1.9724959247258356E-2</v>
      </c>
      <c r="AB9" s="52">
        <f>+AA9</f>
        <v>1.9724959247258356E-2</v>
      </c>
      <c r="AC9" s="52">
        <f t="shared" ref="AC9:AC30" si="8">+AB9/$AB$104</f>
        <v>4.483923565004938E-2</v>
      </c>
      <c r="AD9" s="52">
        <f t="shared" ref="AD9:AD30" si="9">+AB9</f>
        <v>1.9724959247258356E-2</v>
      </c>
      <c r="AE9" s="52">
        <f t="shared" ref="AE9:AE30" si="10">+AD9/$AD$104</f>
        <v>5.9210869736047576E-2</v>
      </c>
      <c r="AF9" s="52"/>
      <c r="AG9" s="49">
        <f>+AA9</f>
        <v>1.9724959247258356E-2</v>
      </c>
      <c r="AH9" s="52">
        <f>+AG9</f>
        <v>1.9724959247258356E-2</v>
      </c>
      <c r="AI9" s="52"/>
      <c r="AJ9" s="52">
        <v>0</v>
      </c>
      <c r="AK9" s="52"/>
      <c r="AL9" s="49">
        <f>+'[2]CDIS Table-4'!U6</f>
        <v>0</v>
      </c>
      <c r="AM9" s="52">
        <f>+AL9</f>
        <v>0</v>
      </c>
      <c r="AN9" s="52">
        <f t="shared" ref="AN9:AN30" si="11">+AM9/$AB$104</f>
        <v>0</v>
      </c>
      <c r="AO9" s="52">
        <f t="shared" ref="AO9:AO30" si="12">+AM9</f>
        <v>0</v>
      </c>
      <c r="AP9" s="52">
        <f t="shared" ref="AP9:AP30" si="13">+AO9/$AD$104</f>
        <v>0</v>
      </c>
      <c r="AQ9" s="52"/>
      <c r="AR9" s="52">
        <f t="shared" ref="AR9:AR40" si="14">+AQ9/$AQ$99</f>
        <v>0</v>
      </c>
      <c r="AS9" s="52"/>
      <c r="AT9" s="52">
        <f t="shared" ref="AT9:AT21" si="15">+AS9/$AB$104</f>
        <v>0</v>
      </c>
    </row>
    <row r="10" spans="3:48" ht="14" customHeight="1" x14ac:dyDescent="0.35">
      <c r="C10" s="311" t="s">
        <v>33</v>
      </c>
      <c r="D10" s="308">
        <f t="shared" si="0"/>
        <v>394.14207842377647</v>
      </c>
      <c r="E10" s="308">
        <f t="shared" si="4"/>
        <v>337.84778680629819</v>
      </c>
      <c r="F10" s="281">
        <f>VLOOKUP($C10,'[2]Breakdown EU havens'!$S$67:$Y$97,F$2,0)/E106</f>
        <v>43.466580660966024</v>
      </c>
      <c r="G10" s="281">
        <f>VLOOKUP($C10,'[2]Breakdown EU havens'!$S$67:$Y$97,G$2,0)/E106</f>
        <v>0</v>
      </c>
      <c r="H10" s="281">
        <f>VLOOKUP($C10,'[2]Breakdown EU havens'!$S$67:$Y$97,H$2,0)/E106</f>
        <v>78.7293054015922</v>
      </c>
      <c r="I10" s="281">
        <f>VLOOKUP($C10,'[2]Breakdown EU havens'!$S$67:$Y$97,I$2,0)/E106</f>
        <v>115.07392610836433</v>
      </c>
      <c r="J10" s="281">
        <f>VLOOKUP($C10,'[2]Breakdown EU havens'!$S$67:$Y$97,J$2,0)/E106</f>
        <v>0.30509306212660425</v>
      </c>
      <c r="K10" s="281">
        <f>VLOOKUP($C10,'[2]Breakdown EU havens'!$S$67:$Y$97,K$2,0)/E106</f>
        <v>100.27288157324899</v>
      </c>
      <c r="L10" s="308">
        <f t="shared" si="5"/>
        <v>56.294291617478258</v>
      </c>
      <c r="M10" s="290">
        <f>VLOOKUP($C10,'[2]Breakdown non-EU havens'!$K$59:$M$86,3,0)/E106</f>
        <v>54.592522199827549</v>
      </c>
      <c r="N10" s="295">
        <f>VLOOKUP($C10,'[2]Breakdown non-EU havens'!$K$59:$M$86,2,0)/E106</f>
        <v>1.7017694176507092</v>
      </c>
      <c r="O10" s="308">
        <f t="shared" si="2"/>
        <v>3564.2289344686524</v>
      </c>
      <c r="P10" s="308">
        <f t="shared" si="6"/>
        <v>2647.0937315445126</v>
      </c>
      <c r="Q10" s="281">
        <f>VLOOKUP($C10,'[2]Breakdown EU havens'!$J$67:$P$94,Q$2,0)/E106</f>
        <v>409.77644023283892</v>
      </c>
      <c r="R10" s="281">
        <f>VLOOKUP($C10,'[2]Breakdown EU havens'!$J$67:$P$94,R$2,0)/E106</f>
        <v>15.937325911804487</v>
      </c>
      <c r="S10" s="281">
        <f>VLOOKUP($C10,'[2]Breakdown EU havens'!$J$67:$P$94,S$2,0)/E106</f>
        <v>795.16588398131614</v>
      </c>
      <c r="T10" s="281">
        <f>VLOOKUP($C10,'[2]Breakdown EU havens'!$J$67:$P$94,T$2,0)/E106</f>
        <v>631.52899108807446</v>
      </c>
      <c r="U10" s="281">
        <f>VLOOKUP($C10,'[2]Breakdown EU havens'!$J$67:$P$94,U$2,0)/E106</f>
        <v>122.49853929750725</v>
      </c>
      <c r="V10" s="281">
        <f>VLOOKUP($C10,'[2]Breakdown EU havens'!$J$67:$P$94,V$2,0)/E106</f>
        <v>672.18655103297169</v>
      </c>
      <c r="W10" s="308">
        <f t="shared" si="7"/>
        <v>917.13520292413978</v>
      </c>
      <c r="X10" s="290">
        <f>IFERROR(IFERROR(VLOOKUP(C10,'[2]Swiss pivot'!$E$3:$H$54,4,0),VLOOKUP($C10,'[2]Breakdown non-EU havens'!$F$59:$H$86,3,0)/$E$106),AJ10*'[2]Non-EU tax havens'!$I$8)</f>
        <v>506.78149401435587</v>
      </c>
      <c r="Y10" s="289">
        <f>VLOOKUP($C10,'[2]Breakdown non-EU havens'!$F$59:$H$86,2,0)/E106</f>
        <v>410.3537089097839</v>
      </c>
      <c r="Z10" s="266"/>
      <c r="AA10" s="49">
        <f>+'[2]CDIS Table-4'!O7</f>
        <v>7.5183978411835217E-3</v>
      </c>
      <c r="AB10" s="52"/>
      <c r="AC10" s="52">
        <f t="shared" si="8"/>
        <v>0</v>
      </c>
      <c r="AD10" s="52">
        <f t="shared" si="9"/>
        <v>0</v>
      </c>
      <c r="AE10" s="52">
        <f t="shared" si="10"/>
        <v>0</v>
      </c>
      <c r="AF10" s="52"/>
      <c r="AG10" s="49">
        <f t="shared" ref="AG10:AG43" si="16">+AA10</f>
        <v>7.5183978411835217E-3</v>
      </c>
      <c r="AH10" s="52"/>
      <c r="AJ10" s="52">
        <f>+AI9/$AI$104</f>
        <v>0</v>
      </c>
      <c r="AK10" s="52"/>
      <c r="AL10" s="49">
        <f>+'[2]CDIS Table-4'!U7</f>
        <v>0</v>
      </c>
      <c r="AM10" s="52"/>
      <c r="AN10" s="52">
        <f t="shared" si="11"/>
        <v>0</v>
      </c>
      <c r="AO10" s="52">
        <f t="shared" si="12"/>
        <v>0</v>
      </c>
      <c r="AP10" s="52">
        <f t="shared" si="13"/>
        <v>0</v>
      </c>
      <c r="AQ10" s="52"/>
      <c r="AR10" s="52">
        <f t="shared" si="14"/>
        <v>0</v>
      </c>
      <c r="AS10" s="52"/>
      <c r="AT10" s="52">
        <f t="shared" si="15"/>
        <v>0</v>
      </c>
    </row>
    <row r="11" spans="3:48" ht="14" customHeight="1" x14ac:dyDescent="0.35">
      <c r="C11" s="311" t="s">
        <v>34</v>
      </c>
      <c r="D11" s="308">
        <f t="shared" si="0"/>
        <v>3047.8158399910517</v>
      </c>
      <c r="E11" s="308">
        <f t="shared" si="4"/>
        <v>2318.6826953991545</v>
      </c>
      <c r="F11" s="281">
        <f>VLOOKUP($C11,'[2]Breakdown EU havens'!$S$67:$Y$97,F$2,0)/E106</f>
        <v>0</v>
      </c>
      <c r="G11" s="281">
        <f>VLOOKUP($C11,'[2]Breakdown EU havens'!$S$67:$Y$97,G$2,0)/E106</f>
        <v>0</v>
      </c>
      <c r="H11" s="281">
        <f>VLOOKUP($C11,'[2]Breakdown EU havens'!$S$67:$Y$97,H$2,0)/E106</f>
        <v>486.05383758876286</v>
      </c>
      <c r="I11" s="281">
        <f>VLOOKUP($C11,'[2]Breakdown EU havens'!$S$67:$Y$97,I$2,0)/E106</f>
        <v>1243.5256785675538</v>
      </c>
      <c r="J11" s="281">
        <f>VLOOKUP($C11,'[2]Breakdown EU havens'!$S$67:$Y$97,J$2,0)/E106</f>
        <v>0</v>
      </c>
      <c r="K11" s="281">
        <f>VLOOKUP($C11,'[2]Breakdown EU havens'!$S$67:$Y$97,K$2,0)/E106</f>
        <v>589.10317924283788</v>
      </c>
      <c r="L11" s="308">
        <f t="shared" si="5"/>
        <v>729.13314459189735</v>
      </c>
      <c r="M11" s="290">
        <f>VLOOKUP($C11,'[2]Breakdown non-EU havens'!$K$59:$M$86,3,0)/E106</f>
        <v>714.83828148363136</v>
      </c>
      <c r="N11" s="295">
        <f>VLOOKUP($C11,'[2]Breakdown non-EU havens'!$K$59:$M$86,2,0)/E106</f>
        <v>14.294863108265957</v>
      </c>
      <c r="O11" s="308">
        <f t="shared" si="2"/>
        <v>13331.195374758641</v>
      </c>
      <c r="P11" s="308">
        <f t="shared" si="6"/>
        <v>11493.106216950782</v>
      </c>
      <c r="Q11" s="281">
        <f>VLOOKUP($C11,'[2]Breakdown EU havens'!$J$67:$P$94,Q$2,0)/E106</f>
        <v>0</v>
      </c>
      <c r="R11" s="281">
        <f>VLOOKUP($C11,'[2]Breakdown EU havens'!$J$67:$P$94,R$2,0)/E106</f>
        <v>8.4149080814327686</v>
      </c>
      <c r="S11" s="281">
        <f>VLOOKUP($C11,'[2]Breakdown EU havens'!$J$67:$P$94,S$2,0)/E106</f>
        <v>2250.5092790664835</v>
      </c>
      <c r="T11" s="281">
        <f>VLOOKUP($C11,'[2]Breakdown EU havens'!$J$67:$P$94,T$2,0)/E106</f>
        <v>4476.221969800089</v>
      </c>
      <c r="U11" s="281">
        <f>VLOOKUP($C11,'[2]Breakdown EU havens'!$J$67:$P$94,U$2,0)/E106</f>
        <v>34.99958265643064</v>
      </c>
      <c r="V11" s="281">
        <f>VLOOKUP($C11,'[2]Breakdown EU havens'!$J$67:$P$94,V$2,0)/E106</f>
        <v>4722.960477346347</v>
      </c>
      <c r="W11" s="308">
        <f t="shared" si="7"/>
        <v>1838.089157807859</v>
      </c>
      <c r="X11" s="290">
        <f>IFERROR(IFERROR(VLOOKUP(C11,'[2]Swiss pivot'!$E$3:$H$54,4,0),VLOOKUP($C11,'[2]Breakdown non-EU havens'!$F$59:$H$86,3,0)/$E$106),AJ11*'[2]Non-EU tax havens'!$I$8)</f>
        <v>685.19064229941853</v>
      </c>
      <c r="Y11" s="289">
        <f>VLOOKUP($C11,'[2]Breakdown non-EU havens'!$F$59:$H$86,2,0)/E106</f>
        <v>1152.8985155084406</v>
      </c>
      <c r="Z11" s="266"/>
      <c r="AA11" s="49">
        <f>+'[2]CDIS Table-4'!O8</f>
        <v>1.6851091979899344E-2</v>
      </c>
      <c r="AB11" s="52"/>
      <c r="AC11" s="52">
        <f t="shared" si="8"/>
        <v>0</v>
      </c>
      <c r="AD11" s="52">
        <f t="shared" si="9"/>
        <v>0</v>
      </c>
      <c r="AE11" s="52">
        <f t="shared" si="10"/>
        <v>0</v>
      </c>
      <c r="AF11" s="52"/>
      <c r="AG11" s="49">
        <f t="shared" si="16"/>
        <v>1.6851091979899344E-2</v>
      </c>
      <c r="AH11" s="52"/>
      <c r="AI11" s="52"/>
      <c r="AJ11" s="52">
        <f t="shared" ref="AJ11:AJ42" si="17">+AI11/$AI$104</f>
        <v>0</v>
      </c>
      <c r="AK11" s="52"/>
      <c r="AL11" s="49">
        <f>+'[2]CDIS Table-4'!U8</f>
        <v>0</v>
      </c>
      <c r="AM11" s="52"/>
      <c r="AN11" s="52">
        <f t="shared" si="11"/>
        <v>0</v>
      </c>
      <c r="AO11" s="52">
        <f t="shared" si="12"/>
        <v>0</v>
      </c>
      <c r="AP11" s="52">
        <f t="shared" si="13"/>
        <v>0</v>
      </c>
      <c r="AQ11" s="52"/>
      <c r="AR11" s="52">
        <f t="shared" si="14"/>
        <v>0</v>
      </c>
      <c r="AS11" s="52"/>
      <c r="AT11" s="52">
        <f t="shared" si="15"/>
        <v>0</v>
      </c>
    </row>
    <row r="12" spans="3:48" ht="14" customHeight="1" x14ac:dyDescent="0.35">
      <c r="C12" s="311" t="s">
        <v>35</v>
      </c>
      <c r="D12" s="308">
        <f t="shared" si="0"/>
        <v>2325.3283414142188</v>
      </c>
      <c r="E12" s="308">
        <f t="shared" si="4"/>
        <v>940.29432864002024</v>
      </c>
      <c r="F12" s="281">
        <f>HLOOKUP($C12,'[2]Interest shifted to EU'!$L$12:$AT$18,F$2,0)/E106</f>
        <v>76.999975070585975</v>
      </c>
      <c r="G12" s="281">
        <f>HLOOKUP($C12,'[2]Interest shifted to EU'!$L$12:$AT$18,G$2,0)/E106</f>
        <v>0</v>
      </c>
      <c r="H12" s="281">
        <f>HLOOKUP($C12,'[2]Interest shifted to EU'!$L$12:$AT$18,H$2,0)/E106</f>
        <v>-29.36674761071038</v>
      </c>
      <c r="I12" s="281">
        <f>HLOOKUP($C12,'[2]Interest shifted to EU'!$L$12:$AT$18,I$2,0)/E106</f>
        <v>0</v>
      </c>
      <c r="J12" s="281">
        <f>HLOOKUP($C12,'[2]Interest shifted to EU'!$L$12:$AT$18,J$2,0)/E106</f>
        <v>198.20155603391041</v>
      </c>
      <c r="K12" s="281">
        <f>HLOOKUP($C12,'[2]Interest shifted to EU'!$L$12:$AT$18,K$2,0)/E106</f>
        <v>694.45954514623418</v>
      </c>
      <c r="L12" s="308">
        <f t="shared" si="5"/>
        <v>1385.0340127741986</v>
      </c>
      <c r="M12" s="290">
        <f>AC12*'[2]Non-EU tax havens'!$M$8</f>
        <v>175.77895504189377</v>
      </c>
      <c r="N12" s="295">
        <f>AC12*'[2]Non-EU tax havens'!$M$13</f>
        <v>1209.2550577323047</v>
      </c>
      <c r="O12" s="308">
        <f t="shared" si="2"/>
        <v>19330.78501468867</v>
      </c>
      <c r="P12" s="308">
        <f t="shared" si="6"/>
        <v>2761.5737175926624</v>
      </c>
      <c r="Q12" s="281">
        <f>HLOOKUP($C12,'[2]Non EU income shifted to EU'!$A$2:$AI$18,Q$2+10,0)/E106</f>
        <v>135.48813529885842</v>
      </c>
      <c r="R12" s="281">
        <f>HLOOKUP($C12,'[2]Non EU income shifted to EU'!$A$2:$AI$18,R$2+10,0)/E106</f>
        <v>0.90722990420374594</v>
      </c>
      <c r="S12" s="281">
        <f>HLOOKUP($C12,'[2]Non EU income shifted to EU'!$A$2:$AI$18,S$2+10,0)/E106</f>
        <v>985.29859082256542</v>
      </c>
      <c r="T12" s="281">
        <f>HLOOKUP($C12,'[2]Non EU income shifted to EU'!$A$2:$AI$18,T$2+10,0)/E106</f>
        <v>470.12250388495249</v>
      </c>
      <c r="U12" s="281">
        <f>HLOOKUP($C12,'[2]Non EU income shifted to EU'!$A$2:$AI$18,U$2+10,0)/E106</f>
        <v>77.073631322225268</v>
      </c>
      <c r="V12" s="281">
        <f>HLOOKUP($C12,'[2]Non EU income shifted to EU'!$A$2:$AI$18,V$2+10,0)/E106</f>
        <v>1092.6836263598573</v>
      </c>
      <c r="W12" s="308">
        <f t="shared" si="7"/>
        <v>16569.211297096008</v>
      </c>
      <c r="X12" s="290">
        <f>IFERROR(IFERROR(VLOOKUP(C12,'[2]Swiss pivot'!$E$3:$H$54,4,0),VLOOKUP($C12,'[2]Breakdown non-EU havens'!$F$59:$H$86,3,0)/$E$106),AJ12*'[2]Non-EU tax havens'!$I$8)</f>
        <v>743.30782129328838</v>
      </c>
      <c r="Y12" s="289">
        <f>AE12*'[2]Non-EU tax havens'!$O$13</f>
        <v>15825.903475802721</v>
      </c>
      <c r="Z12" s="266"/>
      <c r="AA12" s="49">
        <f>+'[2]CDIS Table-4'!O9</f>
        <v>1.8625065059146493E-2</v>
      </c>
      <c r="AB12" s="52">
        <f>+AA12</f>
        <v>1.8625065059146493E-2</v>
      </c>
      <c r="AC12" s="52">
        <f t="shared" si="8"/>
        <v>4.2338930626721005E-2</v>
      </c>
      <c r="AD12" s="52">
        <f t="shared" si="9"/>
        <v>1.8625065059146493E-2</v>
      </c>
      <c r="AE12" s="52">
        <f t="shared" si="10"/>
        <v>5.5909180202530322E-2</v>
      </c>
      <c r="AF12" s="52"/>
      <c r="AG12" s="49">
        <f t="shared" si="16"/>
        <v>1.8625065059146493E-2</v>
      </c>
      <c r="AH12" s="52">
        <f>+AG12</f>
        <v>1.8625065059146493E-2</v>
      </c>
      <c r="AI12" s="52"/>
      <c r="AJ12" s="52">
        <f t="shared" si="17"/>
        <v>0</v>
      </c>
      <c r="AK12" s="52"/>
      <c r="AL12" s="49">
        <f>+'[2]CDIS Table-4'!U9</f>
        <v>0</v>
      </c>
      <c r="AM12" s="52">
        <f>+AL12</f>
        <v>0</v>
      </c>
      <c r="AN12" s="52">
        <f t="shared" si="11"/>
        <v>0</v>
      </c>
      <c r="AO12" s="52">
        <f t="shared" si="12"/>
        <v>0</v>
      </c>
      <c r="AP12" s="52">
        <f t="shared" si="13"/>
        <v>0</v>
      </c>
      <c r="AQ12" s="52"/>
      <c r="AR12" s="52">
        <f t="shared" si="14"/>
        <v>0</v>
      </c>
      <c r="AS12" s="52"/>
      <c r="AT12" s="52">
        <f t="shared" si="15"/>
        <v>0</v>
      </c>
    </row>
    <row r="13" spans="3:48" ht="14" customHeight="1" x14ac:dyDescent="0.35">
      <c r="C13" s="311" t="s">
        <v>36</v>
      </c>
      <c r="D13" s="308">
        <f t="shared" si="0"/>
        <v>917.21905763652831</v>
      </c>
      <c r="E13" s="308">
        <f t="shared" si="4"/>
        <v>391.89114591997117</v>
      </c>
      <c r="F13" s="281">
        <f>HLOOKUP($C13,'[2]Interest shifted to EU'!$L$12:$AT$18,F$2,0)/E106</f>
        <v>26.548457662373814</v>
      </c>
      <c r="G13" s="281">
        <f>HLOOKUP($C13,'[2]Interest shifted to EU'!$L$12:$AT$18,G$2,0)/E106</f>
        <v>0</v>
      </c>
      <c r="H13" s="281">
        <f>HLOOKUP($C13,'[2]Interest shifted to EU'!$L$12:$AT$18,H$2,0)/E106</f>
        <v>0</v>
      </c>
      <c r="I13" s="281">
        <f>HLOOKUP($C13,'[2]Interest shifted to EU'!$L$12:$AT$18,I$2,0)/E106</f>
        <v>39.524578927130811</v>
      </c>
      <c r="J13" s="281">
        <f>HLOOKUP($C13,'[2]Interest shifted to EU'!$L$12:$AT$18,J$2,0)/E106</f>
        <v>3.2760587774200061</v>
      </c>
      <c r="K13" s="281">
        <f>HLOOKUP($C13,'[2]Interest shifted to EU'!$L$12:$AT$18,K$2,0)/E106</f>
        <v>322.54205055304652</v>
      </c>
      <c r="L13" s="308">
        <f t="shared" si="5"/>
        <v>525.32791171655708</v>
      </c>
      <c r="M13" s="290">
        <f>AC13*'[2]Non-EU tax havens'!$M$8</f>
        <v>66.670991848725834</v>
      </c>
      <c r="N13" s="295">
        <f>AC13*'[2]Non-EU tax havens'!$M$13</f>
        <v>458.65691986783128</v>
      </c>
      <c r="O13" s="308">
        <f t="shared" si="2"/>
        <v>6728.4464741942111</v>
      </c>
      <c r="P13" s="308">
        <f t="shared" si="6"/>
        <v>590.83490776413544</v>
      </c>
      <c r="Q13" s="281">
        <f>HLOOKUP($C13,'[2]Non EU income shifted to EU'!$A$2:$AI$18,Q$2+10,0)/E106</f>
        <v>30.211762588081641</v>
      </c>
      <c r="R13" s="281">
        <f>HLOOKUP($C13,'[2]Non EU income shifted to EU'!$A$2:$AI$18,R$2+10,0)/E106</f>
        <v>0</v>
      </c>
      <c r="S13" s="281">
        <f>HLOOKUP($C13,'[2]Non EU income shifted to EU'!$A$2:$AI$18,S$2+10,0)/E106</f>
        <v>254.7124266576869</v>
      </c>
      <c r="T13" s="281">
        <f>HLOOKUP($C13,'[2]Non EU income shifted to EU'!$A$2:$AI$18,T$2+10,0)/E106</f>
        <v>77.309033972192182</v>
      </c>
      <c r="U13" s="281">
        <f>HLOOKUP($C13,'[2]Non EU income shifted to EU'!$A$2:$AI$18,U$2+10,0)/E106</f>
        <v>0</v>
      </c>
      <c r="V13" s="281">
        <f>HLOOKUP($C13,'[2]Non EU income shifted to EU'!$A$2:$AI$18,V$2+10,0)/E106</f>
        <v>228.60168454617465</v>
      </c>
      <c r="W13" s="308">
        <f t="shared" si="7"/>
        <v>6137.611566430076</v>
      </c>
      <c r="X13" s="290">
        <f>IFERROR(IFERROR(VLOOKUP(C13,'[2]Swiss pivot'!$E$3:$H$54,4,0),VLOOKUP($C13,'[2]Breakdown non-EU havens'!$F$59:$H$86,3,0)/$E$106),AJ13*'[2]Non-EU tax havens'!$I$8)</f>
        <v>135.02336477366077</v>
      </c>
      <c r="Y13" s="289">
        <f>AE13*'[2]Non-EU tax havens'!$O$13</f>
        <v>6002.5882016564155</v>
      </c>
      <c r="Z13" s="266"/>
      <c r="AA13" s="49">
        <f>+'[2]CDIS Table-4'!O10</f>
        <v>7.0642788861976962E-3</v>
      </c>
      <c r="AB13" s="52">
        <f>+AA13</f>
        <v>7.0642788861976962E-3</v>
      </c>
      <c r="AC13" s="52">
        <f t="shared" si="8"/>
        <v>1.6058682895373488E-2</v>
      </c>
      <c r="AD13" s="52">
        <f t="shared" si="9"/>
        <v>7.0642788861976962E-3</v>
      </c>
      <c r="AE13" s="52">
        <f t="shared" si="10"/>
        <v>2.1205726798543403E-2</v>
      </c>
      <c r="AF13" s="52"/>
      <c r="AG13" s="49">
        <f t="shared" si="16"/>
        <v>7.0642788861976962E-3</v>
      </c>
      <c r="AH13" s="52">
        <f>+AG13</f>
        <v>7.0642788861976962E-3</v>
      </c>
      <c r="AI13" s="52"/>
      <c r="AJ13" s="52">
        <f t="shared" si="17"/>
        <v>0</v>
      </c>
      <c r="AK13" s="52"/>
      <c r="AL13" s="49">
        <f>+'[2]CDIS Table-4'!U10</f>
        <v>0</v>
      </c>
      <c r="AM13" s="52">
        <f>+AL13</f>
        <v>0</v>
      </c>
      <c r="AN13" s="52">
        <f t="shared" si="11"/>
        <v>0</v>
      </c>
      <c r="AO13" s="52">
        <f t="shared" si="12"/>
        <v>0</v>
      </c>
      <c r="AP13" s="52">
        <f t="shared" si="13"/>
        <v>0</v>
      </c>
      <c r="AQ13" s="52"/>
      <c r="AR13" s="52">
        <f t="shared" si="14"/>
        <v>0</v>
      </c>
      <c r="AS13" s="52"/>
      <c r="AT13" s="52">
        <f t="shared" si="15"/>
        <v>0</v>
      </c>
    </row>
    <row r="14" spans="3:48" ht="14" customHeight="1" x14ac:dyDescent="0.35">
      <c r="C14" s="311" t="s">
        <v>37</v>
      </c>
      <c r="D14" s="308">
        <f t="shared" si="0"/>
        <v>230.58998132194532</v>
      </c>
      <c r="E14" s="308">
        <f t="shared" si="4"/>
        <v>211.052780125688</v>
      </c>
      <c r="F14" s="281">
        <f>VLOOKUP($C14,'[2]Breakdown EU havens'!$S$67:$Y$97,F$2,0)/E106</f>
        <v>4.3905637031278806</v>
      </c>
      <c r="G14" s="281">
        <f>VLOOKUP($C14,'[2]Breakdown EU havens'!$S$67:$Y$97,G$2,0)/E106</f>
        <v>7.5095155558811771E-2</v>
      </c>
      <c r="H14" s="281">
        <f>VLOOKUP($C14,'[2]Breakdown EU havens'!$S$67:$Y$97,H$2,0)/E106</f>
        <v>53.419610778645328</v>
      </c>
      <c r="I14" s="281">
        <f>VLOOKUP($C14,'[2]Breakdown EU havens'!$S$67:$Y$97,I$2,0)/E106</f>
        <v>47.624886850148748</v>
      </c>
      <c r="J14" s="281">
        <f>VLOOKUP($C14,'[2]Breakdown EU havens'!$S$67:$Y$97,J$2,0)/E106</f>
        <v>0.71188381162874315</v>
      </c>
      <c r="K14" s="281">
        <f>VLOOKUP($C14,'[2]Breakdown EU havens'!$S$67:$Y$97,K$2,0)/E106</f>
        <v>104.83073982657851</v>
      </c>
      <c r="L14" s="308">
        <f t="shared" si="5"/>
        <v>19.537201196257303</v>
      </c>
      <c r="M14" s="290">
        <f>VLOOKUP($C14,'[2]Breakdown non-EU havens'!$K$59:$M$86,3,0)/E106</f>
        <v>19.537201196257303</v>
      </c>
      <c r="N14" s="295">
        <f>VLOOKUP($C14,'[2]Breakdown non-EU havens'!$K$59:$M$86,2,0)/E106</f>
        <v>0</v>
      </c>
      <c r="O14" s="308">
        <f t="shared" si="2"/>
        <v>2116.641543424942</v>
      </c>
      <c r="P14" s="308">
        <f t="shared" si="6"/>
        <v>1712.0575938782233</v>
      </c>
      <c r="Q14" s="281">
        <f>VLOOKUP($C14,'[2]Breakdown EU havens'!$J$67:$P$94,Q$2,0)/E106</f>
        <v>332.01999996095299</v>
      </c>
      <c r="R14" s="281">
        <f>VLOOKUP($C14,'[2]Breakdown EU havens'!$J$67:$P$94,R$2,0)/E106</f>
        <v>5.0999442917774367</v>
      </c>
      <c r="S14" s="281">
        <f>VLOOKUP($C14,'[2]Breakdown EU havens'!$J$67:$P$94,S$2,0)/E106</f>
        <v>490.38744834391508</v>
      </c>
      <c r="T14" s="281">
        <f>VLOOKUP($C14,'[2]Breakdown EU havens'!$J$67:$P$94,T$2,0)/E106</f>
        <v>315.30183694250758</v>
      </c>
      <c r="U14" s="281">
        <f>VLOOKUP($C14,'[2]Breakdown EU havens'!$J$67:$P$94,U$2,0)/E106</f>
        <v>34.890208960629295</v>
      </c>
      <c r="V14" s="281">
        <f>VLOOKUP($C14,'[2]Breakdown EU havens'!$J$67:$P$94,V$2,0)/E106</f>
        <v>534.35815537844087</v>
      </c>
      <c r="W14" s="308">
        <f t="shared" si="7"/>
        <v>404.58394954671849</v>
      </c>
      <c r="X14" s="290">
        <f>IFERROR(IFERROR(VLOOKUP(C14,'[2]Swiss pivot'!$E$3:$H$54,4,0),VLOOKUP($C14,'[2]Breakdown non-EU havens'!$F$59:$H$86,3,0)/$E$106),AJ14*'[2]Non-EU tax havens'!$I$8)</f>
        <v>345.03638126131375</v>
      </c>
      <c r="Y14" s="289">
        <f>VLOOKUP($C14,'[2]Breakdown non-EU havens'!$F$59:$H$86,2,0)/E106</f>
        <v>59.547568285404729</v>
      </c>
      <c r="Z14" s="266"/>
      <c r="AA14" s="49">
        <f>+'[2]CDIS Table-4'!O11</f>
        <v>4.2168628042858767E-3</v>
      </c>
      <c r="AB14" s="52"/>
      <c r="AC14" s="52">
        <f t="shared" si="8"/>
        <v>0</v>
      </c>
      <c r="AD14" s="52">
        <f t="shared" si="9"/>
        <v>0</v>
      </c>
      <c r="AE14" s="52">
        <f t="shared" si="10"/>
        <v>0</v>
      </c>
      <c r="AF14" s="52"/>
      <c r="AG14" s="49">
        <f t="shared" si="16"/>
        <v>4.2168628042858767E-3</v>
      </c>
      <c r="AH14" s="52"/>
      <c r="AI14" s="52"/>
      <c r="AJ14" s="52">
        <f t="shared" si="17"/>
        <v>0</v>
      </c>
      <c r="AK14" s="52"/>
      <c r="AL14" s="49">
        <f>+'[2]CDIS Table-4'!U11</f>
        <v>0</v>
      </c>
      <c r="AM14" s="52"/>
      <c r="AN14" s="52">
        <f t="shared" si="11"/>
        <v>0</v>
      </c>
      <c r="AO14" s="52">
        <f t="shared" si="12"/>
        <v>0</v>
      </c>
      <c r="AP14" s="52">
        <f t="shared" si="13"/>
        <v>0</v>
      </c>
      <c r="AQ14" s="52"/>
      <c r="AR14" s="52">
        <f t="shared" si="14"/>
        <v>0</v>
      </c>
      <c r="AS14" s="52"/>
      <c r="AT14" s="52">
        <f t="shared" si="15"/>
        <v>0</v>
      </c>
    </row>
    <row r="15" spans="3:48" ht="14" customHeight="1" x14ac:dyDescent="0.35">
      <c r="C15" s="311" t="s">
        <v>38</v>
      </c>
      <c r="D15" s="308">
        <f t="shared" si="0"/>
        <v>235.43134475999506</v>
      </c>
      <c r="E15" s="308">
        <f t="shared" si="4"/>
        <v>156.20360034813291</v>
      </c>
      <c r="F15" s="281">
        <f>VLOOKUP($C15,'[2]Breakdown EU havens'!$S$67:$Y$97,F$2,0)/E106</f>
        <v>15.257208868369387</v>
      </c>
      <c r="G15" s="281">
        <f>VLOOKUP($C15,'[2]Breakdown EU havens'!$S$67:$Y$97,G$2,0)/E106</f>
        <v>0</v>
      </c>
      <c r="H15" s="281">
        <f>VLOOKUP($C15,'[2]Breakdown EU havens'!$S$67:$Y$97,H$2,0)/E106</f>
        <v>14.324210148306106</v>
      </c>
      <c r="I15" s="281">
        <f>VLOOKUP($C15,'[2]Breakdown EU havens'!$S$67:$Y$97,I$2,0)/E106</f>
        <v>42.932779771316362</v>
      </c>
      <c r="J15" s="281">
        <f>VLOOKUP($C15,'[2]Breakdown EU havens'!$S$67:$Y$97,J$2,0)/E106</f>
        <v>0.50848843687767376</v>
      </c>
      <c r="K15" s="281">
        <f>VLOOKUP($C15,'[2]Breakdown EU havens'!$S$67:$Y$97,K$2,0)/E106</f>
        <v>83.18091312326338</v>
      </c>
      <c r="L15" s="308">
        <f t="shared" si="5"/>
        <v>79.227744411862147</v>
      </c>
      <c r="M15" s="290">
        <f>VLOOKUP($C15,'[2]Breakdown non-EU havens'!$K$59:$M$86,3,0)/E106</f>
        <v>53.587751852591452</v>
      </c>
      <c r="N15" s="295">
        <f>VLOOKUP($C15,'[2]Breakdown non-EU havens'!$K$59:$M$86,2,0)/E106</f>
        <v>25.639992559270688</v>
      </c>
      <c r="O15" s="308">
        <f t="shared" si="2"/>
        <v>4455.4431553100621</v>
      </c>
      <c r="P15" s="308">
        <f t="shared" si="6"/>
        <v>3920.2691250587632</v>
      </c>
      <c r="Q15" s="281">
        <f>VLOOKUP($C15,'[2]Breakdown EU havens'!$J$67:$P$94,Q$2,0)/E106</f>
        <v>454.87517559053282</v>
      </c>
      <c r="R15" s="281">
        <f>VLOOKUP($C15,'[2]Breakdown EU havens'!$J$67:$P$94,R$2,0)/E106</f>
        <v>18.678545968634861</v>
      </c>
      <c r="S15" s="281">
        <f>VLOOKUP($C15,'[2]Breakdown EU havens'!$J$67:$P$94,S$2,0)/E106</f>
        <v>1504.9094382511114</v>
      </c>
      <c r="T15" s="281">
        <f>VLOOKUP($C15,'[2]Breakdown EU havens'!$J$67:$P$94,T$2,0)/E106</f>
        <v>529.74409875153503</v>
      </c>
      <c r="U15" s="281">
        <f>VLOOKUP($C15,'[2]Breakdown EU havens'!$J$67:$P$94,U$2,0)/E106</f>
        <v>228.15352944160722</v>
      </c>
      <c r="V15" s="281">
        <f>VLOOKUP($C15,'[2]Breakdown EU havens'!$J$67:$P$94,V$2,0)/E106</f>
        <v>1183.9083370553417</v>
      </c>
      <c r="W15" s="308">
        <f t="shared" si="7"/>
        <v>535.17403025129897</v>
      </c>
      <c r="X15" s="290">
        <f>IFERROR(IFERROR(VLOOKUP(C15,'[2]Swiss pivot'!$E$3:$H$54,4,0),VLOOKUP($C15,'[2]Breakdown non-EU havens'!$F$59:$H$86,3,0)/$E$106),AJ15*'[2]Non-EU tax havens'!$I$8)</f>
        <v>197.32642780301825</v>
      </c>
      <c r="Y15" s="289">
        <f>VLOOKUP($C15,'[2]Breakdown non-EU havens'!$F$59:$H$86,2,0)/E106</f>
        <v>337.84760244828072</v>
      </c>
      <c r="Z15" s="266"/>
      <c r="AA15" s="49">
        <f>+'[2]CDIS Table-4'!O12</f>
        <v>4.270260946196207E-3</v>
      </c>
      <c r="AB15" s="52"/>
      <c r="AC15" s="52">
        <f t="shared" si="8"/>
        <v>0</v>
      </c>
      <c r="AD15" s="52">
        <f t="shared" si="9"/>
        <v>0</v>
      </c>
      <c r="AE15" s="52">
        <f t="shared" si="10"/>
        <v>0</v>
      </c>
      <c r="AF15" s="52"/>
      <c r="AG15" s="49">
        <f t="shared" si="16"/>
        <v>4.270260946196207E-3</v>
      </c>
      <c r="AH15" s="52"/>
      <c r="AI15" s="52"/>
      <c r="AJ15" s="52">
        <f t="shared" si="17"/>
        <v>0</v>
      </c>
      <c r="AK15" s="52"/>
      <c r="AL15" s="49">
        <f>+'[2]CDIS Table-4'!U12</f>
        <v>0</v>
      </c>
      <c r="AM15" s="52"/>
      <c r="AN15" s="52">
        <f t="shared" si="11"/>
        <v>0</v>
      </c>
      <c r="AO15" s="52">
        <f t="shared" si="12"/>
        <v>0</v>
      </c>
      <c r="AP15" s="52">
        <f t="shared" si="13"/>
        <v>0</v>
      </c>
      <c r="AQ15" s="52"/>
      <c r="AR15" s="52">
        <f t="shared" si="14"/>
        <v>0</v>
      </c>
      <c r="AS15" s="52"/>
      <c r="AT15" s="52">
        <f t="shared" si="15"/>
        <v>0</v>
      </c>
    </row>
    <row r="16" spans="3:48" ht="14" customHeight="1" x14ac:dyDescent="0.35">
      <c r="C16" s="321" t="s">
        <v>39</v>
      </c>
      <c r="D16" s="308">
        <f t="shared" si="0"/>
        <v>20.805300950439932</v>
      </c>
      <c r="E16" s="308">
        <f t="shared" si="4"/>
        <v>17.765647881291585</v>
      </c>
      <c r="F16" s="281">
        <f>VLOOKUP($C16,'[2]Breakdown EU havens'!$S$67:$Y$97,F$2,0)/E106</f>
        <v>3.2929227773459107</v>
      </c>
      <c r="G16" s="281">
        <f>VLOOKUP($C16,'[2]Breakdown EU havens'!$S$67:$Y$97,G$2,0)/E106</f>
        <v>0</v>
      </c>
      <c r="H16" s="281">
        <f>VLOOKUP($C16,'[2]Breakdown EU havens'!$S$67:$Y$97,H$2,0)/E106</f>
        <v>1.9386149072895482</v>
      </c>
      <c r="I16" s="281">
        <f>VLOOKUP($C16,'[2]Breakdown EU havens'!$S$67:$Y$97,I$2,0)/E106</f>
        <v>0</v>
      </c>
      <c r="J16" s="281">
        <f>VLOOKUP($C16,'[2]Breakdown EU havens'!$S$67:$Y$97,J$2,0)/E106</f>
        <v>0</v>
      </c>
      <c r="K16" s="281">
        <f>VLOOKUP($C16,'[2]Breakdown EU havens'!$S$67:$Y$97,K$2,0)/E106</f>
        <v>12.534110196656124</v>
      </c>
      <c r="L16" s="308">
        <f t="shared" si="5"/>
        <v>3.039653069148347</v>
      </c>
      <c r="M16" s="290">
        <f>VLOOKUP($C16,'[2]Breakdown non-EU havens'!$K$59:$M$86,3,0)/E106</f>
        <v>1.4513349460076854</v>
      </c>
      <c r="N16" s="295">
        <f>VLOOKUP($C16,'[2]Breakdown non-EU havens'!$K$59:$M$86,2,0)/E106</f>
        <v>1.5883181231406618</v>
      </c>
      <c r="O16" s="308">
        <f t="shared" si="2"/>
        <v>321.54483120632085</v>
      </c>
      <c r="P16" s="308">
        <f t="shared" si="6"/>
        <v>253.84250440066393</v>
      </c>
      <c r="Q16" s="281">
        <f>VLOOKUP($C16,'[2]Breakdown EU havens'!$J$67:$P$94,Q$2,0)/E106</f>
        <v>52.096814982163586</v>
      </c>
      <c r="R16" s="281">
        <f>VLOOKUP($C16,'[2]Breakdown EU havens'!$J$67:$P$94,R$2,0)/E106</f>
        <v>0.19124791094165383</v>
      </c>
      <c r="S16" s="281">
        <f>VLOOKUP($C16,'[2]Breakdown EU havens'!$J$67:$P$94,S$2,0)/E106</f>
        <v>44.293059850418139</v>
      </c>
      <c r="T16" s="281">
        <f>VLOOKUP($C16,'[2]Breakdown EU havens'!$J$67:$P$94,T$2,0)/E106</f>
        <v>99.471599328890861</v>
      </c>
      <c r="U16" s="281">
        <f>VLOOKUP($C16,'[2]Breakdown EU havens'!$J$67:$P$94,U$2,0)/E106</f>
        <v>16.624801761804552</v>
      </c>
      <c r="V16" s="281">
        <f>VLOOKUP($C16,'[2]Breakdown EU havens'!$J$67:$P$94,V$2,0)/E106</f>
        <v>41.164980566445152</v>
      </c>
      <c r="W16" s="308">
        <f t="shared" si="7"/>
        <v>67.702326805656909</v>
      </c>
      <c r="X16" s="290">
        <f>IFERROR(IFERROR(VLOOKUP(C16,'[2]Swiss pivot'!$E$3:$H$54,4,0),VLOOKUP($C16,'[2]Breakdown non-EU havens'!$F$59:$H$86,3,0)/$E$106),AJ16*'[2]Non-EU tax havens'!$I$8)</f>
        <v>36.642973399452714</v>
      </c>
      <c r="Y16" s="289">
        <f>VLOOKUP($C16,'[2]Breakdown non-EU havens'!$F$59:$H$86,2,0)/E106</f>
        <v>31.059353406204195</v>
      </c>
      <c r="Z16" s="266"/>
      <c r="AA16" s="49">
        <f>+'[2]CDIS Table-4'!O13</f>
        <v>6.773202753420001E-4</v>
      </c>
      <c r="AB16" s="52"/>
      <c r="AC16" s="52">
        <f t="shared" si="8"/>
        <v>0</v>
      </c>
      <c r="AD16" s="52">
        <f t="shared" si="9"/>
        <v>0</v>
      </c>
      <c r="AE16" s="52">
        <f t="shared" si="10"/>
        <v>0</v>
      </c>
      <c r="AF16" s="52"/>
      <c r="AG16" s="49">
        <f t="shared" si="16"/>
        <v>6.773202753420001E-4</v>
      </c>
      <c r="AH16" s="52"/>
      <c r="AI16" s="52"/>
      <c r="AJ16" s="52">
        <f t="shared" si="17"/>
        <v>0</v>
      </c>
      <c r="AK16" s="52"/>
      <c r="AL16" s="49">
        <f>+'[2]CDIS Table-4'!U13</f>
        <v>0</v>
      </c>
      <c r="AM16" s="52"/>
      <c r="AN16" s="52">
        <f t="shared" si="11"/>
        <v>0</v>
      </c>
      <c r="AO16" s="52">
        <f t="shared" si="12"/>
        <v>0</v>
      </c>
      <c r="AP16" s="52">
        <f t="shared" si="13"/>
        <v>0</v>
      </c>
      <c r="AQ16" s="52"/>
      <c r="AR16" s="52">
        <f t="shared" si="14"/>
        <v>0</v>
      </c>
      <c r="AS16" s="52"/>
      <c r="AT16" s="52">
        <f t="shared" si="15"/>
        <v>0</v>
      </c>
    </row>
    <row r="17" spans="1:46" ht="14" customHeight="1" x14ac:dyDescent="0.35">
      <c r="C17" s="311" t="s">
        <v>40</v>
      </c>
      <c r="D17" s="308">
        <f t="shared" si="0"/>
        <v>289.48489893471935</v>
      </c>
      <c r="E17" s="308">
        <f t="shared" si="4"/>
        <v>228.29360569197974</v>
      </c>
      <c r="F17" s="281">
        <f>VLOOKUP($C17,'[2]Breakdown EU havens'!$S$67:$Y$97,F$2,0)/E106</f>
        <v>7.2444301101610034</v>
      </c>
      <c r="G17" s="281">
        <f>VLOOKUP($C17,'[2]Breakdown EU havens'!$S$67:$Y$97,G$2,0)/E106</f>
        <v>0</v>
      </c>
      <c r="H17" s="281">
        <f>VLOOKUP($C17,'[2]Breakdown EU havens'!$S$67:$Y$97,H$2,0)/E106</f>
        <v>2.1540165636550537</v>
      </c>
      <c r="I17" s="281">
        <f>VLOOKUP($C17,'[2]Breakdown EU havens'!$S$67:$Y$97,I$2,0)/E106</f>
        <v>16.070466745000928</v>
      </c>
      <c r="J17" s="281">
        <f>VLOOKUP($C17,'[2]Breakdown EU havens'!$S$67:$Y$97,J$2,0)/E106</f>
        <v>0</v>
      </c>
      <c r="K17" s="281">
        <f>VLOOKUP($C17,'[2]Breakdown EU havens'!$S$67:$Y$97,K$2,0)/E106</f>
        <v>202.82469227316275</v>
      </c>
      <c r="L17" s="308">
        <f t="shared" si="5"/>
        <v>61.19129324273959</v>
      </c>
      <c r="M17" s="290">
        <f>VLOOKUP($C17,'[2]Breakdown non-EU havens'!$K$59:$M$86,3,0)/E106</f>
        <v>4.4656459877159547</v>
      </c>
      <c r="N17" s="295">
        <f>VLOOKUP($C17,'[2]Breakdown non-EU havens'!$K$59:$M$86,2,0)/E106</f>
        <v>56.725647255023638</v>
      </c>
      <c r="O17" s="308">
        <f t="shared" si="2"/>
        <v>3710.6670390978684</v>
      </c>
      <c r="P17" s="308">
        <f t="shared" si="6"/>
        <v>3037.4356565657254</v>
      </c>
      <c r="Q17" s="281">
        <f>VLOOKUP($C17,'[2]Breakdown EU havens'!$J$67:$P$94,Q$2,0)/E106</f>
        <v>271.36997654888194</v>
      </c>
      <c r="R17" s="281">
        <f>VLOOKUP($C17,'[2]Breakdown EU havens'!$J$67:$P$94,R$2,0)/E106</f>
        <v>1.5299832875332307</v>
      </c>
      <c r="S17" s="281">
        <f>VLOOKUP($C17,'[2]Breakdown EU havens'!$J$67:$P$94,S$2,0)/E106</f>
        <v>1068.3064197255612</v>
      </c>
      <c r="T17" s="281">
        <f>VLOOKUP($C17,'[2]Breakdown EU havens'!$J$67:$P$94,T$2,0)/E106</f>
        <v>734.47052992843828</v>
      </c>
      <c r="U17" s="281">
        <f>VLOOKUP($C17,'[2]Breakdown EU havens'!$J$67:$P$94,U$2,0)/E106</f>
        <v>74.045992057511071</v>
      </c>
      <c r="V17" s="281">
        <f>VLOOKUP($C17,'[2]Breakdown EU havens'!$J$67:$P$94,V$2,0)/E106</f>
        <v>887.71275501779917</v>
      </c>
      <c r="W17" s="308">
        <f t="shared" si="7"/>
        <v>673.23138253214302</v>
      </c>
      <c r="X17" s="290">
        <f>IFERROR(IFERROR(VLOOKUP(C17,'[2]Swiss pivot'!$E$3:$H$54,4,0),VLOOKUP($C17,'[2]Breakdown non-EU havens'!$F$59:$H$86,3,0)/$E$106),AJ17*'[2]Non-EU tax havens'!$I$8)</f>
        <v>225.85327883350652</v>
      </c>
      <c r="Y17" s="289">
        <f>VLOOKUP($C17,'[2]Breakdown non-EU havens'!$F$59:$H$86,2,0)/$E$106</f>
        <v>447.37810369863655</v>
      </c>
      <c r="Z17" s="266"/>
      <c r="AA17" s="49">
        <f>+'[2]CDIS Table-4'!O14</f>
        <v>2.5371919195899964E-3</v>
      </c>
      <c r="AB17" s="52"/>
      <c r="AC17" s="52">
        <f t="shared" si="8"/>
        <v>0</v>
      </c>
      <c r="AD17" s="52">
        <f t="shared" si="9"/>
        <v>0</v>
      </c>
      <c r="AE17" s="52">
        <f t="shared" si="10"/>
        <v>0</v>
      </c>
      <c r="AF17" s="52"/>
      <c r="AG17" s="49">
        <f t="shared" si="16"/>
        <v>2.5371919195899964E-3</v>
      </c>
      <c r="AH17" s="52"/>
      <c r="AI17" s="52"/>
      <c r="AJ17" s="52">
        <f t="shared" si="17"/>
        <v>0</v>
      </c>
      <c r="AK17" s="52"/>
      <c r="AL17" s="49">
        <f>+'[2]CDIS Table-4'!U14</f>
        <v>0</v>
      </c>
      <c r="AM17" s="52"/>
      <c r="AN17" s="52">
        <f t="shared" si="11"/>
        <v>0</v>
      </c>
      <c r="AO17" s="52">
        <f t="shared" si="12"/>
        <v>0</v>
      </c>
      <c r="AP17" s="52">
        <f t="shared" si="13"/>
        <v>0</v>
      </c>
      <c r="AQ17" s="52"/>
      <c r="AR17" s="52">
        <f t="shared" si="14"/>
        <v>0</v>
      </c>
      <c r="AS17" s="52"/>
      <c r="AT17" s="52">
        <f t="shared" si="15"/>
        <v>0</v>
      </c>
    </row>
    <row r="18" spans="1:46" ht="14" customHeight="1" x14ac:dyDescent="0.35">
      <c r="C18" s="321" t="s">
        <v>41</v>
      </c>
      <c r="D18" s="308">
        <f t="shared" si="0"/>
        <v>2951.3224243682594</v>
      </c>
      <c r="E18" s="308">
        <f t="shared" si="4"/>
        <v>2540.6341499525288</v>
      </c>
      <c r="F18" s="281">
        <f>VLOOKUP($C18,'[2]Breakdown EU havens'!$S$67:$Y$97,F$2,0)/E106</f>
        <v>298.55833181269594</v>
      </c>
      <c r="G18" s="281">
        <f>VLOOKUP($C18,'[2]Breakdown EU havens'!$S$67:$Y$97,G$2,0)/E106</f>
        <v>0</v>
      </c>
      <c r="H18" s="281">
        <f>VLOOKUP($C18,'[2]Breakdown EU havens'!$S$67:$Y$97,H$2,0)/E106</f>
        <v>205.70858182905761</v>
      </c>
      <c r="I18" s="281">
        <f>VLOOKUP($C18,'[2]Breakdown EU havens'!$S$67:$Y$97,I$2,0)/E106</f>
        <v>939.12523182830273</v>
      </c>
      <c r="J18" s="281">
        <f>VLOOKUP($C18,'[2]Breakdown EU havens'!$S$67:$Y$97,J$2,0)/E106</f>
        <v>3.3560236833926465</v>
      </c>
      <c r="K18" s="281">
        <f>VLOOKUP($C18,'[2]Breakdown EU havens'!$S$67:$Y$97,K$2,0)/E106</f>
        <v>1093.88598079908</v>
      </c>
      <c r="L18" s="308">
        <f t="shared" si="5"/>
        <v>410.68827441573052</v>
      </c>
      <c r="M18" s="290">
        <f>VLOOKUP($C18,'[2]Breakdown non-EU havens'!$K$59:$M$86,3,0)/E106</f>
        <v>280.21928572917614</v>
      </c>
      <c r="N18" s="295">
        <f>VLOOKUP($C18,'[2]Breakdown non-EU havens'!$K$59:$M$86,2,0)/E106</f>
        <v>130.46898868655438</v>
      </c>
      <c r="O18" s="308">
        <f t="shared" si="2"/>
        <v>32754.35974201592</v>
      </c>
      <c r="P18" s="308">
        <f t="shared" si="6"/>
        <v>27110.332005423668</v>
      </c>
      <c r="Q18" s="281">
        <f>VLOOKUP($C18,'[2]Breakdown EU havens'!$J$67:$P$94,Q$2,0)/E106</f>
        <v>3937.5861353683044</v>
      </c>
      <c r="R18" s="281">
        <f>VLOOKUP($C18,'[2]Breakdown EU havens'!$J$67:$P$94,R$2,0)/E106</f>
        <v>21.037270203581926</v>
      </c>
      <c r="S18" s="281">
        <f>VLOOKUP($C18,'[2]Breakdown EU havens'!$J$67:$P$94,S$2,0)/E106</f>
        <v>6127.2066126411755</v>
      </c>
      <c r="T18" s="281">
        <f>VLOOKUP($C18,'[2]Breakdown EU havens'!$J$67:$P$94,T$2,0)/E106</f>
        <v>10449.144515548838</v>
      </c>
      <c r="U18" s="281">
        <f>VLOOKUP($C18,'[2]Breakdown EU havens'!$J$67:$P$94,U$2,0)/E106</f>
        <v>378.32361377685493</v>
      </c>
      <c r="V18" s="281">
        <f>VLOOKUP($C18,'[2]Breakdown EU havens'!$J$67:$P$94,V$2,0)/E106</f>
        <v>6197.0338578849114</v>
      </c>
      <c r="W18" s="308">
        <f t="shared" si="7"/>
        <v>5644.0277365922502</v>
      </c>
      <c r="X18" s="290">
        <f>IFERROR(IFERROR(VLOOKUP(C18,'[2]Swiss pivot'!$E$3:$H$54,4,0),VLOOKUP($C18,'[2]Breakdown non-EU havens'!$F$59:$H$86,3,0)/$E$106),AJ18*'[2]Non-EU tax havens'!$I$8)</f>
        <v>2205.9012982829581</v>
      </c>
      <c r="Y18" s="289">
        <f>VLOOKUP($C18,'[2]Breakdown non-EU havens'!$F$59:$H$86,2,0)/$E$106</f>
        <v>3438.1264383092921</v>
      </c>
      <c r="Z18" s="266"/>
      <c r="AA18" s="49">
        <f>+'[2]CDIS Table-4'!O15</f>
        <v>2.3101070838444246E-2</v>
      </c>
      <c r="AB18" s="52"/>
      <c r="AC18" s="52">
        <f t="shared" si="8"/>
        <v>0</v>
      </c>
      <c r="AD18" s="52">
        <f t="shared" si="9"/>
        <v>0</v>
      </c>
      <c r="AE18" s="52">
        <f t="shared" si="10"/>
        <v>0</v>
      </c>
      <c r="AF18" s="52"/>
      <c r="AG18" s="49">
        <f t="shared" si="16"/>
        <v>2.3101070838444246E-2</v>
      </c>
      <c r="AH18" s="52"/>
      <c r="AI18" s="52"/>
      <c r="AJ18" s="52">
        <f t="shared" si="17"/>
        <v>0</v>
      </c>
      <c r="AK18" s="52"/>
      <c r="AL18" s="49">
        <f>+'[2]CDIS Table-4'!U15</f>
        <v>0</v>
      </c>
      <c r="AM18" s="52"/>
      <c r="AN18" s="52">
        <f t="shared" si="11"/>
        <v>0</v>
      </c>
      <c r="AO18" s="52">
        <f t="shared" si="12"/>
        <v>0</v>
      </c>
      <c r="AP18" s="52">
        <f t="shared" si="13"/>
        <v>0</v>
      </c>
      <c r="AQ18" s="52"/>
      <c r="AR18" s="52">
        <f t="shared" si="14"/>
        <v>0</v>
      </c>
      <c r="AS18" s="52"/>
      <c r="AT18" s="52">
        <f t="shared" si="15"/>
        <v>0</v>
      </c>
    </row>
    <row r="19" spans="1:46" ht="14" customHeight="1" x14ac:dyDescent="0.35">
      <c r="B19" s="253" t="str">
        <f>+TableC1!B19</f>
        <v>Germany (until 1990 former territory of the FRG)</v>
      </c>
      <c r="C19" s="311" t="s">
        <v>42</v>
      </c>
      <c r="D19" s="308">
        <f t="shared" si="0"/>
        <v>10335.326267931079</v>
      </c>
      <c r="E19" s="308">
        <f t="shared" si="4"/>
        <v>9274.7353458485395</v>
      </c>
      <c r="F19" s="281">
        <f>VLOOKUP($B19,'[2]Breakdown EU havens'!$S$67:$Y$97,F$2,0)/E106</f>
        <v>725.76018012703878</v>
      </c>
      <c r="G19" s="281">
        <f>VLOOKUP($B19,'[2]Breakdown EU havens'!$S$67:$Y$97,G$2,0)/E106</f>
        <v>0</v>
      </c>
      <c r="H19" s="281">
        <f>VLOOKUP($B19,'[2]Breakdown EU havens'!$S$67:$Y$97,H$2,0)/E106</f>
        <v>364.02879925770407</v>
      </c>
      <c r="I19" s="281">
        <f>VLOOKUP($B19,'[2]Breakdown EU havens'!$S$67:$Y$97,I$2,0)/E106</f>
        <v>2011.7409100493867</v>
      </c>
      <c r="J19" s="281">
        <f>VLOOKUP($B19,'[2]Breakdown EU havens'!$S$67:$Y$97,J$2,0)/E106</f>
        <v>16.678420729587696</v>
      </c>
      <c r="K19" s="281">
        <f>VLOOKUP($B19,'[2]Breakdown EU havens'!$S$67:$Y$97,K$2,0)/E106</f>
        <v>6156.5270356848223</v>
      </c>
      <c r="L19" s="308">
        <f t="shared" si="5"/>
        <v>1060.5909220825392</v>
      </c>
      <c r="M19" s="290">
        <f>VLOOKUP($B19,'[2]Breakdown non-EU havens'!$K$59:$M$86,3,0)/E106</f>
        <v>530.29546104126962</v>
      </c>
      <c r="N19" s="295">
        <f>VLOOKUP($B19,'[2]Breakdown non-EU havens'!$K$59:$M$86,3,0)/E106</f>
        <v>530.29546104126962</v>
      </c>
      <c r="O19" s="308">
        <f t="shared" si="2"/>
        <v>53048.168169871125</v>
      </c>
      <c r="P19" s="308">
        <f t="shared" si="6"/>
        <v>43877.527870306258</v>
      </c>
      <c r="Q19" s="281">
        <f>VLOOKUP($B19,'[2]Breakdown EU havens'!$J$67:$P$94,Q$2,0)/E106</f>
        <v>4065.1066974141972</v>
      </c>
      <c r="R19" s="281">
        <f>VLOOKUP($B19,'[2]Breakdown EU havens'!$J$67:$P$94,R$2,0)/E106</f>
        <v>65.024289720162315</v>
      </c>
      <c r="S19" s="281">
        <f>VLOOKUP($B19,'[2]Breakdown EU havens'!$J$67:$P$94,S$2,0)/E106</f>
        <v>10923.512236443596</v>
      </c>
      <c r="T19" s="281">
        <f>VLOOKUP($B19,'[2]Breakdown EU havens'!$J$67:$P$94,T$2,0)/E106</f>
        <v>17707.101327046399</v>
      </c>
      <c r="U19" s="281">
        <f>VLOOKUP($B19,'[2]Breakdown EU havens'!$J$67:$P$94,U$2,0)/E106</f>
        <v>812.86530719560176</v>
      </c>
      <c r="V19" s="281">
        <f>VLOOKUP($B19,'[2]Breakdown EU havens'!$J$67:$P$94,V$2,0)/E106</f>
        <v>10303.918012486307</v>
      </c>
      <c r="W19" s="308">
        <f t="shared" si="7"/>
        <v>9170.6402995648696</v>
      </c>
      <c r="X19" s="290">
        <f>IFERROR(IFERROR(VLOOKUP(C19,'[2]Swiss pivot'!$E$3:$H$54,4,0),VLOOKUP($C19,'[2]Breakdown non-EU havens'!$F$59:$H$86,3,0)/$E$106),AJ19*'[2]Non-EU tax havens'!$I$8)</f>
        <v>4647.4934028600337</v>
      </c>
      <c r="Y19" s="289">
        <f>VLOOKUP($B19,'[2]Breakdown non-EU havens'!$F$59:$H$86,2,0)/E106</f>
        <v>4523.1468967048359</v>
      </c>
      <c r="Z19" s="266"/>
      <c r="AA19" s="49">
        <f>+'[2]CDIS Table-4'!O16</f>
        <v>2.7155362460586724E-2</v>
      </c>
      <c r="AB19" s="52"/>
      <c r="AC19" s="52">
        <f t="shared" si="8"/>
        <v>0</v>
      </c>
      <c r="AD19" s="52">
        <f t="shared" si="9"/>
        <v>0</v>
      </c>
      <c r="AE19" s="52">
        <f t="shared" si="10"/>
        <v>0</v>
      </c>
      <c r="AF19" s="52"/>
      <c r="AG19" s="49">
        <f t="shared" si="16"/>
        <v>2.7155362460586724E-2</v>
      </c>
      <c r="AH19" s="52"/>
      <c r="AI19" s="52"/>
      <c r="AJ19" s="52">
        <f t="shared" si="17"/>
        <v>0</v>
      </c>
      <c r="AK19" s="52"/>
      <c r="AL19" s="49">
        <f>+'[2]CDIS Table-4'!U16</f>
        <v>0</v>
      </c>
      <c r="AM19" s="52"/>
      <c r="AN19" s="52">
        <f t="shared" si="11"/>
        <v>0</v>
      </c>
      <c r="AO19" s="52">
        <f t="shared" si="12"/>
        <v>0</v>
      </c>
      <c r="AP19" s="52">
        <f t="shared" si="13"/>
        <v>0</v>
      </c>
      <c r="AQ19" s="52"/>
      <c r="AR19" s="52">
        <f t="shared" si="14"/>
        <v>0</v>
      </c>
      <c r="AS19" s="52"/>
      <c r="AT19" s="52">
        <f t="shared" si="15"/>
        <v>0</v>
      </c>
    </row>
    <row r="20" spans="1:46" ht="14" customHeight="1" x14ac:dyDescent="0.35">
      <c r="C20" s="311" t="s">
        <v>43</v>
      </c>
      <c r="D20" s="308">
        <f t="shared" si="0"/>
        <v>67.258662047068299</v>
      </c>
      <c r="E20" s="308">
        <f t="shared" si="4"/>
        <v>62.663273461487954</v>
      </c>
      <c r="F20" s="281">
        <f>VLOOKUP($C20,'[2]Breakdown EU havens'!$S$67:$Y$97,F$2,0)/E106</f>
        <v>1.6464613886729553</v>
      </c>
      <c r="G20" s="281">
        <f>VLOOKUP($C20,'[2]Breakdown EU havens'!$S$67:$Y$97,G$2,0)/E106</f>
        <v>0</v>
      </c>
      <c r="H20" s="281">
        <f>VLOOKUP($C20,'[2]Breakdown EU havens'!$S$67:$Y$97,H$2,0)/E106</f>
        <v>10.662381990092515</v>
      </c>
      <c r="I20" s="281">
        <f>VLOOKUP($C20,'[2]Breakdown EU havens'!$S$67:$Y$97,I$2,0)/E106</f>
        <v>3.6363829860951014</v>
      </c>
      <c r="J20" s="281">
        <f>VLOOKUP($C20,'[2]Breakdown EU havens'!$S$67:$Y$97,J$2,0)/E106</f>
        <v>0</v>
      </c>
      <c r="K20" s="281">
        <f>VLOOKUP($C20,'[2]Breakdown EU havens'!$S$67:$Y$97,K$2,0)/E106</f>
        <v>46.71804709662738</v>
      </c>
      <c r="L20" s="308">
        <f t="shared" si="5"/>
        <v>4.5953885855803378</v>
      </c>
      <c r="M20" s="290">
        <f>VLOOKUP($C20,'[2]Breakdown non-EU havens'!$K$59:$M$86,3,0)/E106</f>
        <v>3.4608756404798648</v>
      </c>
      <c r="N20" s="295">
        <f>VLOOKUP($C20,'[2]Breakdown non-EU havens'!$K$59:$M$86,2,0)/E106</f>
        <v>1.1345129451004727</v>
      </c>
      <c r="O20" s="308">
        <f t="shared" si="2"/>
        <v>1544.9581903381047</v>
      </c>
      <c r="P20" s="308">
        <f t="shared" si="6"/>
        <v>1296.3824874448064</v>
      </c>
      <c r="Q20" s="281">
        <f>VLOOKUP($C20,'[2]Breakdown EU havens'!$J$67:$P$94,Q$2,0)/E106</f>
        <v>204.49943791506007</v>
      </c>
      <c r="R20" s="281">
        <f>VLOOKUP($C20,'[2]Breakdown EU havens'!$J$67:$P$94,R$2,0)/E106</f>
        <v>55.461894173079621</v>
      </c>
      <c r="S20" s="281">
        <f>VLOOKUP($C20,'[2]Breakdown EU havens'!$J$67:$P$94,S$2,0)/E106</f>
        <v>369.53067075205985</v>
      </c>
      <c r="T20" s="281">
        <f>VLOOKUP($C20,'[2]Breakdown EU havens'!$J$67:$P$94,T$2,0)/E106</f>
        <v>231.32930076486247</v>
      </c>
      <c r="U20" s="281">
        <f>VLOOKUP($C20,'[2]Breakdown EU havens'!$J$67:$P$94,U$2,0)/E106</f>
        <v>45.06196267015445</v>
      </c>
      <c r="V20" s="281">
        <f>VLOOKUP($C20,'[2]Breakdown EU havens'!$J$67:$P$94,V$2,0)/E106</f>
        <v>390.4992211695901</v>
      </c>
      <c r="W20" s="308">
        <f t="shared" si="7"/>
        <v>248.57570289329831</v>
      </c>
      <c r="X20" s="290">
        <f>IFERROR(IFERROR(VLOOKUP(C20,'[2]Swiss pivot'!$E$3:$H$54,4,0),VLOOKUP($C20,'[2]Breakdown non-EU havens'!$F$59:$H$86,3,0)/$E$106),AJ20*'[2]Non-EU tax havens'!$I$8)</f>
        <v>220.39602463733823</v>
      </c>
      <c r="Y20" s="289">
        <f>VLOOKUP($C20,'[2]Breakdown non-EU havens'!$F$59:$H$86,2,0)/E106</f>
        <v>28.179678255960091</v>
      </c>
      <c r="Z20" s="266"/>
      <c r="AA20" s="49">
        <f>+'[2]CDIS Table-4'!O17</f>
        <v>9.4183324614684747E-4</v>
      </c>
      <c r="AB20" s="52"/>
      <c r="AC20" s="52">
        <f t="shared" si="8"/>
        <v>0</v>
      </c>
      <c r="AD20" s="52">
        <f t="shared" si="9"/>
        <v>0</v>
      </c>
      <c r="AE20" s="52">
        <f t="shared" si="10"/>
        <v>0</v>
      </c>
      <c r="AF20" s="52"/>
      <c r="AG20" s="49">
        <f t="shared" si="16"/>
        <v>9.4183324614684747E-4</v>
      </c>
      <c r="AH20" s="52"/>
      <c r="AI20" s="52"/>
      <c r="AJ20" s="52">
        <f t="shared" si="17"/>
        <v>0</v>
      </c>
      <c r="AK20" s="52"/>
      <c r="AL20" s="49">
        <f>+'[2]CDIS Table-4'!U17</f>
        <v>0</v>
      </c>
      <c r="AM20" s="52"/>
      <c r="AN20" s="52">
        <f t="shared" si="11"/>
        <v>0</v>
      </c>
      <c r="AO20" s="52">
        <f t="shared" si="12"/>
        <v>0</v>
      </c>
      <c r="AP20" s="52">
        <f t="shared" si="13"/>
        <v>0</v>
      </c>
      <c r="AQ20" s="52"/>
      <c r="AR20" s="52">
        <f t="shared" si="14"/>
        <v>0</v>
      </c>
      <c r="AS20" s="52"/>
      <c r="AT20" s="52">
        <f t="shared" si="15"/>
        <v>0</v>
      </c>
    </row>
    <row r="21" spans="1:46" ht="14" customHeight="1" x14ac:dyDescent="0.35">
      <c r="C21" s="311" t="s">
        <v>44</v>
      </c>
      <c r="D21" s="308">
        <f t="shared" si="0"/>
        <v>960.77850039261011</v>
      </c>
      <c r="E21" s="308">
        <f t="shared" si="4"/>
        <v>705.32894748681247</v>
      </c>
      <c r="F21" s="281">
        <f>VLOOKUP($C21,'[2]Breakdown EU havens'!$S$67:$Y$97,F$2,0)/E106</f>
        <v>1.8659895738293495</v>
      </c>
      <c r="G21" s="281">
        <f>VLOOKUP($C21,'[2]Breakdown EU havens'!$S$67:$Y$97,G$2,0)/E106</f>
        <v>0</v>
      </c>
      <c r="H21" s="281">
        <f>VLOOKUP($C21,'[2]Breakdown EU havens'!$S$67:$Y$97,H$2,0)/E106</f>
        <v>604.09394527705967</v>
      </c>
      <c r="I21" s="281">
        <f>VLOOKUP($C21,'[2]Breakdown EU havens'!$S$67:$Y$97,I$2,0)/E106</f>
        <v>24.164351455986804</v>
      </c>
      <c r="J21" s="281">
        <f>VLOOKUP($C21,'[2]Breakdown EU havens'!$S$67:$Y$97,J$2,0)/E106</f>
        <v>0</v>
      </c>
      <c r="K21" s="281">
        <f>VLOOKUP($C21,'[2]Breakdown EU havens'!$S$67:$Y$97,K$2,0)/E106</f>
        <v>75.20466117993675</v>
      </c>
      <c r="L21" s="308">
        <f t="shared" si="5"/>
        <v>255.4495529057977</v>
      </c>
      <c r="M21" s="290">
        <f>VLOOKUP($C21,'[2]Breakdown non-EU havens'!$K$59:$M$86,3,0)/E106</f>
        <v>37.623067446506923</v>
      </c>
      <c r="N21" s="295">
        <f>VLOOKUP($C21,'[2]Breakdown non-EU havens'!$K$59:$M$86,2,0)/E106</f>
        <v>217.82648545929078</v>
      </c>
      <c r="O21" s="308">
        <f t="shared" si="2"/>
        <v>3880.5966834709743</v>
      </c>
      <c r="P21" s="308">
        <f t="shared" si="6"/>
        <v>3444.8167648709514</v>
      </c>
      <c r="Q21" s="281">
        <f>VLOOKUP($C21,'[2]Breakdown EU havens'!$J$67:$P$94,Q$2,0)/E106</f>
        <v>198.27892269330917</v>
      </c>
      <c r="R21" s="281">
        <f>VLOOKUP($C21,'[2]Breakdown EU havens'!$J$67:$P$94,R$2,0)/E106</f>
        <v>0.76499164376661533</v>
      </c>
      <c r="S21" s="281">
        <f>VLOOKUP($C21,'[2]Breakdown EU havens'!$J$67:$P$94,S$2,0)/E106</f>
        <v>2372.315193655133</v>
      </c>
      <c r="T21" s="281">
        <f>VLOOKUP($C21,'[2]Breakdown EU havens'!$J$67:$P$94,T$2,0)/E106</f>
        <v>179.97419599506301</v>
      </c>
      <c r="U21" s="281">
        <f>VLOOKUP($C21,'[2]Breakdown EU havens'!$J$67:$P$94,U$2,0)/E106</f>
        <v>13.343590887764181</v>
      </c>
      <c r="V21" s="281">
        <f>VLOOKUP($C21,'[2]Breakdown EU havens'!$J$67:$P$94,V$2,0)/E106</f>
        <v>680.13986999591543</v>
      </c>
      <c r="W21" s="308">
        <f t="shared" si="7"/>
        <v>435.77991860002311</v>
      </c>
      <c r="X21" s="290">
        <f>IFERROR(IFERROR(VLOOKUP(C21,'[2]Swiss pivot'!$E$3:$H$54,4,0),VLOOKUP($C21,'[2]Breakdown non-EU havens'!$F$59:$H$86,3,0)/$E$106),AJ21*'[2]Non-EU tax havens'!$I$8)</f>
        <v>114.38760272456585</v>
      </c>
      <c r="Y21" s="289">
        <f>VLOOKUP($C21,'[2]Breakdown non-EU havens'!$F$59:$H$86,2,0)/E106</f>
        <v>321.39231587545726</v>
      </c>
      <c r="Z21" s="266"/>
      <c r="AA21" s="49">
        <f>+'[2]CDIS Table-4'!O18</f>
        <v>7.0490294335267892E-3</v>
      </c>
      <c r="AB21" s="52"/>
      <c r="AC21" s="52">
        <f t="shared" si="8"/>
        <v>0</v>
      </c>
      <c r="AD21" s="52">
        <f t="shared" si="9"/>
        <v>0</v>
      </c>
      <c r="AE21" s="52">
        <f t="shared" si="10"/>
        <v>0</v>
      </c>
      <c r="AF21" s="52"/>
      <c r="AG21" s="49">
        <f t="shared" si="16"/>
        <v>7.0490294335267892E-3</v>
      </c>
      <c r="AH21" s="52"/>
      <c r="AI21" s="52"/>
      <c r="AJ21" s="52">
        <f t="shared" si="17"/>
        <v>0</v>
      </c>
      <c r="AK21" s="52"/>
      <c r="AL21" s="49">
        <f>+'[2]CDIS Table-4'!U18</f>
        <v>0</v>
      </c>
      <c r="AM21" s="52"/>
      <c r="AN21" s="52">
        <f t="shared" si="11"/>
        <v>0</v>
      </c>
      <c r="AO21" s="52">
        <f t="shared" si="12"/>
        <v>0</v>
      </c>
      <c r="AP21" s="52">
        <f t="shared" si="13"/>
        <v>0</v>
      </c>
      <c r="AQ21" s="52"/>
      <c r="AR21" s="52">
        <f t="shared" si="14"/>
        <v>0</v>
      </c>
      <c r="AS21" s="52"/>
      <c r="AT21" s="52">
        <f t="shared" si="15"/>
        <v>0</v>
      </c>
    </row>
    <row r="22" spans="1:46" ht="14" customHeight="1" x14ac:dyDescent="0.35">
      <c r="C22" s="311" t="s">
        <v>45</v>
      </c>
      <c r="D22" s="308">
        <f t="shared" si="0"/>
        <v>30.491798810765058</v>
      </c>
      <c r="E22" s="308">
        <f t="shared" si="4"/>
        <v>2.7482677042962287</v>
      </c>
      <c r="F22" s="281">
        <f>HLOOKUP($C22,'[2]Interest shifted to EU'!$L$12:$AT$18,F$2,0)/E106</f>
        <v>0.18895699403824776</v>
      </c>
      <c r="G22" s="281">
        <f>HLOOKUP($C22,'[2]Interest shifted to EU'!$L$12:$AT$18,G$2,0)/E106</f>
        <v>0</v>
      </c>
      <c r="H22" s="281">
        <f>HLOOKUP($C22,'[2]Interest shifted to EU'!$L$12:$AT$18,H$2,0)/E106</f>
        <v>0</v>
      </c>
      <c r="I22" s="281">
        <f>HLOOKUP($C22,'[2]Interest shifted to EU'!$L$12:$AT$18,I$2,0)/E106</f>
        <v>0.80427922235440608</v>
      </c>
      <c r="J22" s="281">
        <f>HLOOKUP($C22,'[2]Interest shifted to EU'!$L$12:$AT$18,J$2,0)/E106</f>
        <v>1.7550314879035749</v>
      </c>
      <c r="K22" s="281">
        <f>HLOOKUP($C22,'[2]Interest shifted to EU'!$L$12:$AT$18,K$2,0)/E106</f>
        <v>0</v>
      </c>
      <c r="L22" s="308">
        <f t="shared" si="5"/>
        <v>27.743531106468829</v>
      </c>
      <c r="M22" s="295">
        <f>AB22*'[2]Non-EU tax havens'!$M$13</f>
        <v>8.47590559009606</v>
      </c>
      <c r="N22" s="295">
        <f>AC22*'[2]Non-EU tax havens'!$M$13</f>
        <v>19.267625516372767</v>
      </c>
      <c r="O22" s="308">
        <f t="shared" si="2"/>
        <v>522.21592667912023</v>
      </c>
      <c r="P22" s="308">
        <f t="shared" si="6"/>
        <v>205.33058321309909</v>
      </c>
      <c r="Q22" s="281">
        <f>HLOOKUP($C22,'[2]Non EU income shifted to EU'!$A$2:$AI$18,Q$2+10,0)/E106</f>
        <v>4.6479634750894832</v>
      </c>
      <c r="R22" s="281">
        <f>HLOOKUP($C22,'[2]Non EU income shifted to EU'!$A$2:$AI$18,R$2+10,0)/E106</f>
        <v>0</v>
      </c>
      <c r="S22" s="281">
        <f>HLOOKUP($C22,'[2]Non EU income shifted to EU'!$A$2:$AI$18,S$2+10,0)/E106</f>
        <v>87.169196451004979</v>
      </c>
      <c r="T22" s="281">
        <f>HLOOKUP($C22,'[2]Non EU income shifted to EU'!$A$2:$AI$18,T$2+10,0)/E106</f>
        <v>47.012250388495254</v>
      </c>
      <c r="U22" s="281">
        <f>HLOOKUP($C22,'[2]Non EU income shifted to EU'!$A$2:$AI$18,U$2+10,0)/E106</f>
        <v>0.1580457238323143</v>
      </c>
      <c r="V22" s="281">
        <f>HLOOKUP($C22,'[2]Non EU income shifted to EU'!$A$2:$AI$18,V$2+10,0)/E106</f>
        <v>66.343127174677065</v>
      </c>
      <c r="W22" s="308">
        <f t="shared" si="7"/>
        <v>316.88534346602108</v>
      </c>
      <c r="X22" s="290">
        <f>IFERROR(IFERROR(VLOOKUP(C22,'[2]Swiss pivot'!$E$3:$H$54,4,0),VLOOKUP($C22,'[2]Breakdown non-EU havens'!$F$59:$H$86,3,0)/$E$106),AJ22*'[2]Non-EU tax havens'!$I$8)</f>
        <v>64.723833220321168</v>
      </c>
      <c r="Y22" s="289">
        <f>AE22*'[2]Non-EU tax havens'!$O$13</f>
        <v>252.1615102456999</v>
      </c>
      <c r="Z22" s="266"/>
      <c r="AA22" s="49">
        <f>+'[2]CDIS Table-4'!O19</f>
        <v>2.9676185886762328E-4</v>
      </c>
      <c r="AB22" s="52">
        <f>+AA22</f>
        <v>2.9676185886762328E-4</v>
      </c>
      <c r="AC22" s="52">
        <f t="shared" si="8"/>
        <v>6.7460595253506471E-4</v>
      </c>
      <c r="AD22" s="52">
        <f t="shared" si="9"/>
        <v>2.9676185886762328E-4</v>
      </c>
      <c r="AE22" s="52">
        <f t="shared" si="10"/>
        <v>8.9082707587750823E-4</v>
      </c>
      <c r="AF22" s="52"/>
      <c r="AG22" s="49">
        <f t="shared" si="16"/>
        <v>2.9676185886762328E-4</v>
      </c>
      <c r="AH22" s="52">
        <f>+AG22</f>
        <v>2.9676185886762328E-4</v>
      </c>
      <c r="AI22" s="52">
        <f>+AH22</f>
        <v>2.9676185886762328E-4</v>
      </c>
      <c r="AJ22" s="52">
        <f t="shared" si="17"/>
        <v>2.2271416248214656E-3</v>
      </c>
      <c r="AK22" s="52"/>
      <c r="AL22" s="49">
        <f>+'[2]CDIS Table-4'!U19</f>
        <v>0</v>
      </c>
      <c r="AM22" s="52">
        <f>+AL22</f>
        <v>0</v>
      </c>
      <c r="AN22" s="52">
        <f t="shared" si="11"/>
        <v>0</v>
      </c>
      <c r="AO22" s="52">
        <f t="shared" si="12"/>
        <v>0</v>
      </c>
      <c r="AP22" s="52">
        <f t="shared" si="13"/>
        <v>0</v>
      </c>
      <c r="AQ22" s="52">
        <v>0</v>
      </c>
      <c r="AR22" s="52">
        <f t="shared" si="14"/>
        <v>0</v>
      </c>
      <c r="AS22" s="52">
        <v>0</v>
      </c>
      <c r="AT22" s="52">
        <f>+AS22/$AS$99</f>
        <v>0</v>
      </c>
    </row>
    <row r="23" spans="1:46" ht="14" customHeight="1" x14ac:dyDescent="0.35">
      <c r="C23" s="311" t="s">
        <v>46</v>
      </c>
      <c r="D23" s="308">
        <f t="shared" si="0"/>
        <v>6413.4860048779292</v>
      </c>
      <c r="E23" s="308">
        <f t="shared" si="4"/>
        <v>6117.9630642062712</v>
      </c>
      <c r="F23" s="281">
        <f>VLOOKUP($C23,'[2]Breakdown EU havens'!$S$67:$Y$97,F$2,0)/E106</f>
        <v>113.60583581843393</v>
      </c>
      <c r="G23" s="281">
        <f>VLOOKUP($C23,'[2]Breakdown EU havens'!$S$67:$Y$97,G$2,0)/E106</f>
        <v>0.39424956668376188</v>
      </c>
      <c r="H23" s="281">
        <f>VLOOKUP($C23,'[2]Breakdown EU havens'!$S$67:$Y$97,H$2,0)/E106</f>
        <v>0</v>
      </c>
      <c r="I23" s="281">
        <f>VLOOKUP($C23,'[2]Breakdown EU havens'!$S$67:$Y$97,I$2,0)/E106</f>
        <v>863.23039982818864</v>
      </c>
      <c r="J23" s="281">
        <f>VLOOKUP($C23,'[2]Breakdown EU havens'!$S$67:$Y$97,J$2,0)/E106</f>
        <v>6.3052566172831535</v>
      </c>
      <c r="K23" s="281">
        <f>VLOOKUP($C23,'[2]Breakdown EU havens'!$S$67:$Y$97,K$2,0)/E106</f>
        <v>5134.4273223756818</v>
      </c>
      <c r="L23" s="308">
        <f t="shared" si="5"/>
        <v>295.52294067165781</v>
      </c>
      <c r="M23" s="290">
        <f>VLOOKUP($C23,'[2]Breakdown non-EU havens'!$K$59:$M$86,3,0)/E106</f>
        <v>190.01323677731386</v>
      </c>
      <c r="N23" s="295">
        <f>VLOOKUP($C23,'[2]Breakdown non-EU havens'!$K$59:$M$86,2,0)/E106</f>
        <v>105.50970389434397</v>
      </c>
      <c r="O23" s="308">
        <f t="shared" si="2"/>
        <v>68936.455056698163</v>
      </c>
      <c r="P23" s="308">
        <f t="shared" si="6"/>
        <v>25882.143940081151</v>
      </c>
      <c r="Q23" s="281">
        <f>VLOOKUP($C23,'[2]Breakdown EU havens'!$J$67:$P$94,Q$2,0)/E106</f>
        <v>2354.4650114327064</v>
      </c>
      <c r="R23" s="281">
        <f>VLOOKUP($C23,'[2]Breakdown EU havens'!$J$67:$P$94,R$2,0)/E106</f>
        <v>20.208529256168092</v>
      </c>
      <c r="S23" s="281">
        <f>VLOOKUP($C23,'[2]Breakdown EU havens'!$J$67:$P$94,S$2,0)/E106</f>
        <v>0</v>
      </c>
      <c r="T23" s="281">
        <f>VLOOKUP($C23,'[2]Breakdown EU havens'!$J$67:$P$94,T$2,0)/E106</f>
        <v>1120.7904622057586</v>
      </c>
      <c r="U23" s="281">
        <f>VLOOKUP($C23,'[2]Breakdown EU havens'!$J$67:$P$94,U$2,0)/E106</f>
        <v>353.27703743834678</v>
      </c>
      <c r="V23" s="281">
        <f>VLOOKUP($C23,'[2]Breakdown EU havens'!$J$67:$P$94,V$2,0)/E106</f>
        <v>22033.402899748169</v>
      </c>
      <c r="W23" s="308">
        <f t="shared" si="7"/>
        <v>43054.311116617013</v>
      </c>
      <c r="X23" s="290">
        <f>IFERROR(IFERROR(VLOOKUP(C23,'[2]Swiss pivot'!$E$3:$H$54,4,0),VLOOKUP($C23,'[2]Breakdown non-EU havens'!$F$59:$H$86,3,0)/$E$106),AJ23*'[2]Non-EU tax havens'!$I$8)</f>
        <v>3158.4688208066409</v>
      </c>
      <c r="Y23" s="289">
        <f>VLOOKUP($C23,'[2]Breakdown non-EU havens'!$F$59:$H$86,2,0)/E106</f>
        <v>39895.842295810369</v>
      </c>
      <c r="Z23" s="266"/>
      <c r="AA23" s="49">
        <f>+'[2]CDIS Table-4'!O20</f>
        <v>2.9830831694854485E-2</v>
      </c>
      <c r="AB23" s="52"/>
      <c r="AC23" s="52">
        <f t="shared" si="8"/>
        <v>0</v>
      </c>
      <c r="AD23" s="52">
        <f t="shared" si="9"/>
        <v>0</v>
      </c>
      <c r="AE23" s="52">
        <f t="shared" si="10"/>
        <v>0</v>
      </c>
      <c r="AF23" s="52"/>
      <c r="AG23" s="49">
        <f t="shared" si="16"/>
        <v>2.9830831694854485E-2</v>
      </c>
      <c r="AH23" s="52"/>
      <c r="AI23" s="52"/>
      <c r="AJ23" s="52">
        <f t="shared" si="17"/>
        <v>0</v>
      </c>
      <c r="AK23" s="52"/>
      <c r="AL23" s="49">
        <f>+'[2]CDIS Table-4'!U20</f>
        <v>0</v>
      </c>
      <c r="AM23" s="52"/>
      <c r="AN23" s="52">
        <f t="shared" si="11"/>
        <v>0</v>
      </c>
      <c r="AO23" s="52">
        <f t="shared" si="12"/>
        <v>0</v>
      </c>
      <c r="AP23" s="52">
        <f t="shared" si="13"/>
        <v>0</v>
      </c>
      <c r="AQ23" s="52"/>
      <c r="AR23" s="52">
        <f t="shared" si="14"/>
        <v>0</v>
      </c>
      <c r="AS23" s="52"/>
      <c r="AT23" s="52">
        <f>+AS23/$AB$104</f>
        <v>0</v>
      </c>
    </row>
    <row r="24" spans="1:46" ht="14" customHeight="1" x14ac:dyDescent="0.35">
      <c r="C24" s="311" t="s">
        <v>47</v>
      </c>
      <c r="D24" s="308">
        <f t="shared" si="0"/>
        <v>576.05264917423722</v>
      </c>
      <c r="E24" s="308">
        <f t="shared" si="4"/>
        <v>240.8615885739851</v>
      </c>
      <c r="F24" s="281">
        <f>AR24*'[2]Interest shifted to EU'!$AU$13</f>
        <v>35.735250086971242</v>
      </c>
      <c r="G24" s="281">
        <f>AR24*'[2]Interest shifted to EU'!$AU$14</f>
        <v>28.606275537627596</v>
      </c>
      <c r="H24" s="281">
        <f>AR24*'[2]Interest shifted to EU'!$AU$15</f>
        <v>-68.371450471882895</v>
      </c>
      <c r="I24" s="281">
        <f>AR24*'[2]Interest shifted to EU'!$AU$16</f>
        <v>57.634508825327572</v>
      </c>
      <c r="J24" s="281">
        <f>AR24*'[2]Interest shifted to EU'!$AU$17</f>
        <v>158.84392622543049</v>
      </c>
      <c r="K24" s="281">
        <f>AR24*'[2]Interest shifted to EU'!$AU$18</f>
        <v>28.413078370511105</v>
      </c>
      <c r="L24" s="308">
        <f t="shared" si="5"/>
        <v>335.19106060025211</v>
      </c>
      <c r="M24" s="290">
        <f>AB24*'[2]Non-EU tax havens'!$M$13</f>
        <v>102.40397206069672</v>
      </c>
      <c r="N24" s="295">
        <f>AC24*'[2]Non-EU tax havens'!$M$13</f>
        <v>232.78708853955541</v>
      </c>
      <c r="O24" s="308">
        <f t="shared" si="2"/>
        <v>3500.7235680460649</v>
      </c>
      <c r="P24" s="308">
        <f t="shared" si="6"/>
        <v>77.71676224994988</v>
      </c>
      <c r="Q24" s="281">
        <f>AR24*'[2]Non EU income shifted to EU'!$AJ$13</f>
        <v>36.962459487527404</v>
      </c>
      <c r="R24" s="281">
        <f>AS24*'[2]Non EU income shifted to EU'!$AJ$13</f>
        <v>3.7918432748950677</v>
      </c>
      <c r="S24" s="281">
        <f>AT24*'[2]Non EU income shifted to EU'!$AJ$13</f>
        <v>36.962459487527404</v>
      </c>
      <c r="T24" s="281">
        <f>AU24*'[2]Non EU income shifted to EU'!$AJ$13</f>
        <v>0</v>
      </c>
      <c r="U24" s="281">
        <f>AV24*'[2]Non EU income shifted to EU'!$AJ$13</f>
        <v>0</v>
      </c>
      <c r="V24" s="281">
        <f>AW24*'[2]Non EU income shifted to EU'!$AJ$13</f>
        <v>0</v>
      </c>
      <c r="W24" s="308">
        <f t="shared" si="7"/>
        <v>3423.0068057961148</v>
      </c>
      <c r="X24" s="290">
        <f>IFERROR(IFERROR(VLOOKUP(C24,'[2]Swiss pivot'!$E$3:$H$54,4,0),VLOOKUP($C24,'[2]Breakdown non-EU havens'!$F$59:$H$86,3,0)/$E$106),AJ24*'[2]Non-EU tax havens'!$I$8)</f>
        <v>376.44853830471305</v>
      </c>
      <c r="Y24" s="289">
        <f>AE24*'[2]Non-EU tax havens'!$O$13</f>
        <v>3046.5582674914017</v>
      </c>
      <c r="Z24" s="266"/>
      <c r="AA24" s="49">
        <f>+'[2]CDIS Table-4'!O21</f>
        <v>3.5854095802659949E-3</v>
      </c>
      <c r="AB24" s="52">
        <f>+AA24</f>
        <v>3.5854095802659949E-3</v>
      </c>
      <c r="AC24" s="52">
        <f t="shared" si="8"/>
        <v>8.1504363611720615E-3</v>
      </c>
      <c r="AD24" s="52">
        <f t="shared" si="9"/>
        <v>3.5854095802659949E-3</v>
      </c>
      <c r="AE24" s="52">
        <f t="shared" si="10"/>
        <v>1.0762771012417403E-2</v>
      </c>
      <c r="AF24" s="52"/>
      <c r="AG24" s="49">
        <f t="shared" si="16"/>
        <v>3.5854095802659949E-3</v>
      </c>
      <c r="AH24" s="52">
        <f>+AG24</f>
        <v>3.5854095802659949E-3</v>
      </c>
      <c r="AI24" s="52"/>
      <c r="AJ24" s="52">
        <f t="shared" si="17"/>
        <v>0</v>
      </c>
      <c r="AK24" s="52"/>
      <c r="AL24" s="49">
        <f>+'[2]CDIS Table-4'!U21</f>
        <v>0</v>
      </c>
      <c r="AM24" s="52">
        <f>+AL24</f>
        <v>0</v>
      </c>
      <c r="AN24" s="52">
        <f t="shared" si="11"/>
        <v>0</v>
      </c>
      <c r="AO24" s="52">
        <f t="shared" si="12"/>
        <v>0</v>
      </c>
      <c r="AP24" s="52">
        <f t="shared" si="13"/>
        <v>0</v>
      </c>
      <c r="AQ24" s="52">
        <f>+AB24</f>
        <v>3.5854095802659949E-3</v>
      </c>
      <c r="AR24" s="52">
        <f t="shared" si="14"/>
        <v>3.4950167174417797E-2</v>
      </c>
      <c r="AS24" s="52">
        <f>+AD24</f>
        <v>3.5854095802659949E-3</v>
      </c>
      <c r="AT24" s="52">
        <f>+AS24/$AS$99</f>
        <v>3.4950167174417797E-2</v>
      </c>
    </row>
    <row r="25" spans="1:46" ht="14" customHeight="1" x14ac:dyDescent="0.35">
      <c r="C25" s="311" t="s">
        <v>48</v>
      </c>
      <c r="D25" s="308">
        <f t="shared" si="0"/>
        <v>2543.5958706932256</v>
      </c>
      <c r="E25" s="308">
        <f t="shared" si="4"/>
        <v>2144.0340994029702</v>
      </c>
      <c r="F25" s="281">
        <f>VLOOKUP($C25,'[2]Breakdown EU havens'!$S$67:$Y$97,F$2,0)/E106</f>
        <v>311.40073064434489</v>
      </c>
      <c r="G25" s="281">
        <f>VLOOKUP($C25,'[2]Breakdown EU havens'!$S$67:$Y$97,G$2,0)/E106</f>
        <v>0.26283304445584132</v>
      </c>
      <c r="H25" s="281">
        <f>VLOOKUP($C25,'[2]Breakdown EU havens'!$S$67:$Y$97,H$2,0)/E106</f>
        <v>167.90559113691145</v>
      </c>
      <c r="I25" s="281">
        <f>VLOOKUP($C25,'[2]Breakdown EU havens'!$S$67:$Y$97,I$2,0)/E106</f>
        <v>743.22976128705022</v>
      </c>
      <c r="J25" s="281">
        <f>VLOOKUP($C25,'[2]Breakdown EU havens'!$S$67:$Y$97,J$2,0)/E106</f>
        <v>3.9662098076458552</v>
      </c>
      <c r="K25" s="281">
        <f>VLOOKUP($C25,'[2]Breakdown EU havens'!$S$67:$Y$97,K$2,0)/E106</f>
        <v>917.26897348256193</v>
      </c>
      <c r="L25" s="308">
        <f t="shared" si="5"/>
        <v>399.56177129025542</v>
      </c>
      <c r="M25" s="290">
        <f>VLOOKUP($C25,'[2]Breakdown non-EU havens'!$K$59:$M$86,3,0)/E106</f>
        <v>357.69824361604799</v>
      </c>
      <c r="N25" s="295">
        <f>VLOOKUP($C25,'[2]Breakdown non-EU havens'!$K$59:$M$86,2,0)/E106</f>
        <v>41.863527674207454</v>
      </c>
      <c r="O25" s="308">
        <f t="shared" si="2"/>
        <v>21727.323355519322</v>
      </c>
      <c r="P25" s="308">
        <f t="shared" si="6"/>
        <v>19377.325076131405</v>
      </c>
      <c r="Q25" s="281">
        <f>VLOOKUP($C25,'[2]Breakdown EU havens'!$J$67:$P$94,Q$2,0)/E106</f>
        <v>1156.2382668429441</v>
      </c>
      <c r="R25" s="281">
        <f>VLOOKUP($C25,'[2]Breakdown EU havens'!$J$67:$P$94,R$2,0)/E106</f>
        <v>25.499721458887183</v>
      </c>
      <c r="S25" s="281">
        <f>VLOOKUP($C25,'[2]Breakdown EU havens'!$J$67:$P$94,S$2,0)/E106</f>
        <v>5380.5521751626975</v>
      </c>
      <c r="T25" s="281">
        <f>VLOOKUP($C25,'[2]Breakdown EU havens'!$J$67:$P$94,T$2,0)/E106</f>
        <v>9748.2167342313041</v>
      </c>
      <c r="U25" s="281">
        <f>VLOOKUP($C25,'[2]Breakdown EU havens'!$J$67:$P$94,U$2,0)/E106</f>
        <v>215.24743333704845</v>
      </c>
      <c r="V25" s="281">
        <f>VLOOKUP($C25,'[2]Breakdown EU havens'!$J$67:$P$94,V$2,0)/E106</f>
        <v>2851.570745098526</v>
      </c>
      <c r="W25" s="308">
        <f t="shared" si="7"/>
        <v>2349.998279387919</v>
      </c>
      <c r="X25" s="290">
        <f>IFERROR(IFERROR(VLOOKUP(C25,'[2]Swiss pivot'!$E$3:$H$54,4,0),VLOOKUP($C25,'[2]Breakdown non-EU havens'!$F$59:$H$86,3,0)/$E$106),AJ25*'[2]Non-EU tax havens'!$I$8)</f>
        <v>1385.924177302627</v>
      </c>
      <c r="Y25" s="289">
        <f>VLOOKUP($C25,'[2]Breakdown non-EU havens'!$F$59:$H$86,2,0)/E106</f>
        <v>964.07410208529177</v>
      </c>
      <c r="Z25" s="266"/>
      <c r="AA25" s="49">
        <f>+'[2]CDIS Table-4'!O22</f>
        <v>1.1975697569500557E-2</v>
      </c>
      <c r="AB25" s="52"/>
      <c r="AC25" s="52">
        <f t="shared" si="8"/>
        <v>0</v>
      </c>
      <c r="AD25" s="52">
        <f t="shared" si="9"/>
        <v>0</v>
      </c>
      <c r="AE25" s="52">
        <f t="shared" si="10"/>
        <v>0</v>
      </c>
      <c r="AF25" s="52"/>
      <c r="AG25" s="49">
        <f t="shared" si="16"/>
        <v>1.1975697569500557E-2</v>
      </c>
      <c r="AH25" s="52"/>
      <c r="AI25" s="52"/>
      <c r="AJ25" s="52">
        <f t="shared" si="17"/>
        <v>0</v>
      </c>
      <c r="AK25" s="52"/>
      <c r="AL25" s="49">
        <f>+'[2]CDIS Table-4'!U22</f>
        <v>0</v>
      </c>
      <c r="AM25" s="52"/>
      <c r="AN25" s="52">
        <f t="shared" si="11"/>
        <v>0</v>
      </c>
      <c r="AO25" s="52">
        <f t="shared" si="12"/>
        <v>0</v>
      </c>
      <c r="AP25" s="52">
        <f t="shared" si="13"/>
        <v>0</v>
      </c>
      <c r="AQ25" s="52"/>
      <c r="AR25" s="52">
        <f t="shared" si="14"/>
        <v>0</v>
      </c>
      <c r="AS25" s="52"/>
      <c r="AT25" s="52">
        <f t="shared" ref="AT25:AT46" si="18">+AS25/$AB$104</f>
        <v>0</v>
      </c>
    </row>
    <row r="26" spans="1:46" ht="14" customHeight="1" x14ac:dyDescent="0.35">
      <c r="C26" s="311" t="s">
        <v>49</v>
      </c>
      <c r="D26" s="308">
        <f t="shared" si="0"/>
        <v>746.73143205200893</v>
      </c>
      <c r="E26" s="308">
        <f t="shared" si="4"/>
        <v>322.26236351717131</v>
      </c>
      <c r="F26" s="281">
        <f>HLOOKUP($C26,'[2]Interest shifted to EU'!$L$12:$AT$18,F$2,0)/E106</f>
        <v>14.171774552868582</v>
      </c>
      <c r="G26" s="281">
        <f>HLOOKUP($C26,'[2]Interest shifted to EU'!$L$12:$AT$18,G$2,0)/E106</f>
        <v>0</v>
      </c>
      <c r="H26" s="281">
        <f>HLOOKUP($C26,'[2]Interest shifted to EU'!$L$12:$AT$18,H$2,0)/E106</f>
        <v>0</v>
      </c>
      <c r="I26" s="281">
        <f>HLOOKUP($C26,'[2]Interest shifted to EU'!$L$12:$AT$18,I$2,0)/E106</f>
        <v>0</v>
      </c>
      <c r="J26" s="281">
        <f>HLOOKUP($C26,'[2]Interest shifted to EU'!$L$12:$AT$18,J$2,0)/E106</f>
        <v>31.941573079845064</v>
      </c>
      <c r="K26" s="281">
        <f>HLOOKUP($C26,'[2]Interest shifted to EU'!$L$12:$AT$18,K$2,0)/E106</f>
        <v>276.14901588445764</v>
      </c>
      <c r="L26" s="308">
        <f t="shared" si="5"/>
        <v>424.46906853483762</v>
      </c>
      <c r="M26" s="290">
        <f>AC26*'[2]Non-EU tax havens'!$M$8</f>
        <v>53.870683771304478</v>
      </c>
      <c r="N26" s="295">
        <f>AC26*'[2]Non-EU tax havens'!$M$13</f>
        <v>370.59838476353315</v>
      </c>
      <c r="O26" s="308">
        <f t="shared" si="2"/>
        <v>14032.291998074685</v>
      </c>
      <c r="P26" s="308">
        <f t="shared" si="6"/>
        <v>7999.1346832553536</v>
      </c>
      <c r="Q26" s="281">
        <f>HLOOKUP($C26,'[2]Non EU income shifted to EU'!$A$2:$AI$18,Q$2+10,0)/E106</f>
        <v>570.30511839347957</v>
      </c>
      <c r="R26" s="281">
        <f>HLOOKUP($C26,'[2]Non EU income shifted to EU'!$A$2:$AI$18,R$2+10,0)/E106</f>
        <v>5.4433794252224752</v>
      </c>
      <c r="S26" s="281">
        <f>HLOOKUP($C26,'[2]Non EU income shifted to EU'!$A$2:$AI$18,S$2+10,0)/E106</f>
        <v>5327.832250805639</v>
      </c>
      <c r="T26" s="281">
        <f>HLOOKUP($C26,'[2]Non EU income shifted to EU'!$A$2:$AI$18,T$2+10,0)/E106</f>
        <v>951.94583453326379</v>
      </c>
      <c r="U26" s="281">
        <f>HLOOKUP($C26,'[2]Non EU income shifted to EU'!$A$2:$AI$18,U$2+10,0)/E106</f>
        <v>1.0536381588820953</v>
      </c>
      <c r="V26" s="281">
        <f>HLOOKUP($C26,'[2]Non EU income shifted to EU'!$A$2:$AI$18,V$2+10,0)/E106</f>
        <v>1142.5544619388666</v>
      </c>
      <c r="W26" s="308">
        <f t="shared" si="7"/>
        <v>6033.1573148193311</v>
      </c>
      <c r="X26" s="290">
        <f>IFERROR(IFERROR(VLOOKUP(C26,'[2]Swiss pivot'!$E$3:$H$54,4,0),VLOOKUP($C26,'[2]Breakdown non-EU havens'!$F$59:$H$86,3,0)/$E$106),AJ26*'[2]Non-EU tax havens'!$I$8)</f>
        <v>1183.0190184745475</v>
      </c>
      <c r="Y26" s="289">
        <f>AE26*'[2]Non-EU tax havens'!$O$13</f>
        <v>4850.1382963447832</v>
      </c>
      <c r="Z26" s="266"/>
      <c r="AA26" s="49">
        <f>+'[2]CDIS Table-4'!O23</f>
        <v>5.7079926876463898E-3</v>
      </c>
      <c r="AB26" s="52">
        <f>+AA26</f>
        <v>5.7079926876463898E-3</v>
      </c>
      <c r="AC26" s="52">
        <f t="shared" si="8"/>
        <v>1.2975541596908977E-2</v>
      </c>
      <c r="AD26" s="52">
        <f t="shared" si="9"/>
        <v>5.7079926876463898E-3</v>
      </c>
      <c r="AE26" s="52">
        <f t="shared" si="10"/>
        <v>1.7134393397011397E-2</v>
      </c>
      <c r="AF26" s="52"/>
      <c r="AG26" s="49">
        <f t="shared" si="16"/>
        <v>5.7079926876463898E-3</v>
      </c>
      <c r="AH26" s="52">
        <f>+AG26</f>
        <v>5.7079926876463898E-3</v>
      </c>
      <c r="AI26" s="52"/>
      <c r="AJ26" s="52">
        <f t="shared" si="17"/>
        <v>0</v>
      </c>
      <c r="AK26" s="52"/>
      <c r="AL26" s="49">
        <f>+'[2]CDIS Table-4'!U23</f>
        <v>0</v>
      </c>
      <c r="AM26" s="52">
        <f>+AL26</f>
        <v>0</v>
      </c>
      <c r="AN26" s="52">
        <f t="shared" si="11"/>
        <v>0</v>
      </c>
      <c r="AO26" s="52">
        <f t="shared" si="12"/>
        <v>0</v>
      </c>
      <c r="AP26" s="52">
        <f t="shared" si="13"/>
        <v>0</v>
      </c>
      <c r="AQ26" s="52"/>
      <c r="AR26" s="52">
        <f t="shared" si="14"/>
        <v>0</v>
      </c>
      <c r="AS26" s="52"/>
      <c r="AT26" s="52">
        <f t="shared" si="18"/>
        <v>0</v>
      </c>
    </row>
    <row r="27" spans="1:46" ht="14" customHeight="1" x14ac:dyDescent="0.35">
      <c r="A27" s="253" t="str">
        <f>+TableC1!A27</f>
        <v>Korea, Republic of</v>
      </c>
      <c r="B27" s="253" t="str">
        <f>+TableC1!B27</f>
        <v>South Korea</v>
      </c>
      <c r="C27" s="311" t="s">
        <v>50</v>
      </c>
      <c r="D27" s="308">
        <f t="shared" si="0"/>
        <v>485.45483814397937</v>
      </c>
      <c r="E27" s="308">
        <f t="shared" si="4"/>
        <v>41.023069626476129</v>
      </c>
      <c r="F27" s="281">
        <f>HLOOKUP($B27,'[2]Interest shifted to EU'!$L$12:$AT$18,F$2,0)/E106</f>
        <v>4.2515323658605748</v>
      </c>
      <c r="G27" s="281">
        <f>HLOOKUP($B27,'[2]Interest shifted to EU'!$L$12:$AT$18,G$2,0)/E106</f>
        <v>0</v>
      </c>
      <c r="H27" s="281">
        <f>HLOOKUP($B27,'[2]Interest shifted to EU'!$L$12:$AT$18,H$2,0)/E106</f>
        <v>0</v>
      </c>
      <c r="I27" s="281">
        <f>HLOOKUP($B27,'[2]Interest shifted to EU'!$L$12:$AT$18,I$2,0)/E106</f>
        <v>14.132334907084566</v>
      </c>
      <c r="J27" s="281">
        <f>HLOOKUP($B27,'[2]Interest shifted to EU'!$L$12:$AT$18,J$2,0)/E106</f>
        <v>3.8610692733878649</v>
      </c>
      <c r="K27" s="281">
        <f>HLOOKUP($B27,'[2]Interest shifted to EU'!$L$12:$AT$18,K$2,0)/E106</f>
        <v>18.778133080143121</v>
      </c>
      <c r="L27" s="308">
        <f t="shared" si="5"/>
        <v>444.43176851750326</v>
      </c>
      <c r="M27" s="290">
        <f>AC27*'[2]Non-EU tax havens'!$M$8</f>
        <v>56.404211836611182</v>
      </c>
      <c r="N27" s="295">
        <f>AC27*'[2]Non-EU tax havens'!$M$13</f>
        <v>388.02755668089208</v>
      </c>
      <c r="O27" s="308">
        <f t="shared" si="2"/>
        <v>7934.0427838335609</v>
      </c>
      <c r="P27" s="308">
        <f t="shared" si="6"/>
        <v>1552.3407173999324</v>
      </c>
      <c r="Q27" s="281">
        <f>HLOOKUP($B27,'[2]Non EU income shifted to EU'!$A$2:$AI$18,Q$2+10,0)/E106</f>
        <v>76.691397338976472</v>
      </c>
      <c r="R27" s="281">
        <f>HLOOKUP($B27,'[2]Non EU income shifted to EU'!$A$2:$AI$18,R$2+10,0)/E106</f>
        <v>18.144598084074918</v>
      </c>
      <c r="S27" s="281">
        <f>HLOOKUP($B27,'[2]Non EU income shifted to EU'!$A$2:$AI$18,S$2+10,0)/E106</f>
        <v>774.64854726739634</v>
      </c>
      <c r="T27" s="281">
        <f>HLOOKUP($B27,'[2]Non EU income shifted to EU'!$A$2:$AI$18,T$2+10,0)/E106</f>
        <v>148.34976789258502</v>
      </c>
      <c r="U27" s="281">
        <f>HLOOKUP($B27,'[2]Non EU income shifted to EU'!$A$2:$AI$18,U$2+10,0)/E106</f>
        <v>0</v>
      </c>
      <c r="V27" s="281">
        <f>HLOOKUP($B27,'[2]Non EU income shifted to EU'!$A$2:$AI$18,V$2+10,0)/E106</f>
        <v>534.5064068168997</v>
      </c>
      <c r="W27" s="308">
        <f t="shared" si="7"/>
        <v>6381.7020664336287</v>
      </c>
      <c r="X27" s="290">
        <f>IFERROR(IFERROR(VLOOKUP(C27,'[2]Swiss pivot'!$E$3:$H$54,4,0),VLOOKUP($C27,'[2]Breakdown non-EU havens'!$F$59:$H$86,3,0)/$E$106),AJ27*'[2]Non-EU tax havens'!$I$8)</f>
        <v>1303.4626836691152</v>
      </c>
      <c r="Y27" s="289">
        <f>AE27*'[2]Non-EU tax havens'!$O$13</f>
        <v>5078.2393827645137</v>
      </c>
      <c r="Z27" s="266"/>
      <c r="AA27" s="49">
        <f>+'[2]CDIS Table-4'!O24</f>
        <v>5.9764385037810045E-3</v>
      </c>
      <c r="AB27" s="52">
        <f>+AA27</f>
        <v>5.9764385037810045E-3</v>
      </c>
      <c r="AC27" s="52">
        <f t="shared" si="8"/>
        <v>1.3585778863209179E-2</v>
      </c>
      <c r="AD27" s="52">
        <f t="shared" si="9"/>
        <v>5.9764385037810045E-3</v>
      </c>
      <c r="AE27" s="52">
        <f t="shared" si="10"/>
        <v>1.7940220676606052E-2</v>
      </c>
      <c r="AF27" s="52"/>
      <c r="AG27" s="49">
        <f t="shared" si="16"/>
        <v>5.9764385037810045E-3</v>
      </c>
      <c r="AH27" s="52">
        <f>+AG27</f>
        <v>5.9764385037810045E-3</v>
      </c>
      <c r="AI27" s="52">
        <f>+AH27</f>
        <v>5.9764385037810045E-3</v>
      </c>
      <c r="AJ27" s="52">
        <f t="shared" si="17"/>
        <v>4.4852040658950584E-2</v>
      </c>
      <c r="AK27" s="52"/>
      <c r="AL27" s="49">
        <f>+'[2]CDIS Table-4'!U24</f>
        <v>0</v>
      </c>
      <c r="AM27" s="52">
        <f>+AL27</f>
        <v>0</v>
      </c>
      <c r="AN27" s="52">
        <f t="shared" si="11"/>
        <v>0</v>
      </c>
      <c r="AO27" s="52">
        <f t="shared" si="12"/>
        <v>0</v>
      </c>
      <c r="AP27" s="52">
        <f t="shared" si="13"/>
        <v>0</v>
      </c>
      <c r="AQ27" s="52"/>
      <c r="AR27" s="52">
        <f t="shared" si="14"/>
        <v>0</v>
      </c>
      <c r="AS27" s="52"/>
      <c r="AT27" s="52">
        <f t="shared" si="18"/>
        <v>0</v>
      </c>
    </row>
    <row r="28" spans="1:46" ht="14" customHeight="1" x14ac:dyDescent="0.35">
      <c r="C28" s="297" t="s">
        <v>51</v>
      </c>
      <c r="D28" s="308">
        <f t="shared" si="0"/>
        <v>2.0175773039579514</v>
      </c>
      <c r="E28" s="308">
        <f t="shared" si="4"/>
        <v>2.0175773039579514</v>
      </c>
      <c r="F28" s="281">
        <f>VLOOKUP($C28,'[2]Breakdown EU havens'!$S$67:$Y$97,F$2,0)/E106</f>
        <v>0.8781127406255762</v>
      </c>
      <c r="G28" s="281">
        <f>VLOOKUP($C28,'[2]Breakdown EU havens'!$S$67:$Y$97,G$2,0)/E106</f>
        <v>0</v>
      </c>
      <c r="H28" s="281">
        <f>VLOOKUP($C28,'[2]Breakdown EU havens'!$S$67:$Y$97,H$2,0)/E106</f>
        <v>0</v>
      </c>
      <c r="I28" s="281"/>
      <c r="J28" s="281">
        <f>VLOOKUP($C28,'[2]Breakdown EU havens'!$S$67:$Y$97,J$2,0)/E106</f>
        <v>0</v>
      </c>
      <c r="K28" s="281">
        <f>VLOOKUP($C28,'[2]Breakdown EU havens'!$S$67:$Y$97,K$2,0)/E106</f>
        <v>1.139464563332375</v>
      </c>
      <c r="L28" s="308">
        <f t="shared" si="5"/>
        <v>0</v>
      </c>
      <c r="M28" s="290">
        <f>VLOOKUP($C28,'[2]Breakdown non-EU havens'!$K$59:$M$86,3,0)/E106</f>
        <v>0</v>
      </c>
      <c r="N28" s="295">
        <f>VLOOKUP($C28,'[2]Breakdown non-EU havens'!$K$59:$M$86,2,0)/E106</f>
        <v>0</v>
      </c>
      <c r="O28" s="308">
        <f t="shared" si="2"/>
        <v>319.80605948907464</v>
      </c>
      <c r="P28" s="308">
        <f t="shared" si="6"/>
        <v>233.27624856629228</v>
      </c>
      <c r="Q28" s="281">
        <f>VLOOKUP($C28,'[2]Breakdown EU havens'!$J$67:$P$94,Q$2,0)/E106</f>
        <v>28.692126460325916</v>
      </c>
      <c r="R28" s="281">
        <f>VLOOKUP($C28,'[2]Breakdown EU havens'!$J$67:$P$94,R$2,0)/E106</f>
        <v>1.2749860729443592</v>
      </c>
      <c r="S28" s="281">
        <f>VLOOKUP($C28,'[2]Breakdown EU havens'!$J$67:$P$94,S$2,0)/E106</f>
        <v>75.930959743573951</v>
      </c>
      <c r="T28" s="281">
        <f>VLOOKUP($C28,'[2]Breakdown EU havens'!$J$67:$P$94,T$2,0)/E106</f>
        <v>80.965255267701863</v>
      </c>
      <c r="U28" s="281">
        <f>VLOOKUP($C28,'[2]Breakdown EU havens'!$J$67:$P$94,U$2,0)/E106</f>
        <v>3.4999582656430643</v>
      </c>
      <c r="V28" s="281">
        <f>VLOOKUP($C28,'[2]Breakdown EU havens'!$J$67:$P$94,V$2,0)/E106</f>
        <v>42.912962756103113</v>
      </c>
      <c r="W28" s="308">
        <f t="shared" si="7"/>
        <v>86.52981092278236</v>
      </c>
      <c r="X28" s="290">
        <f>IFERROR(IFERROR(VLOOKUP(C28,'[2]Swiss pivot'!$E$3:$H$54,4,0),VLOOKUP($C28,'[2]Breakdown non-EU havens'!$F$59:$H$86,3,0)/$E$106),AJ28*'[2]Non-EU tax havens'!$I$8)</f>
        <v>35.107040382709187</v>
      </c>
      <c r="Y28" s="289">
        <f>VLOOKUP($C28,'[2]Breakdown non-EU havens'!$F$59:$H$86,2,0)/E106</f>
        <v>51.422770540073167</v>
      </c>
      <c r="Z28" s="266"/>
      <c r="AA28" s="49">
        <f>+'[2]CDIS Table-4'!O25</f>
        <v>4.9674600230274215E-4</v>
      </c>
      <c r="AB28" s="52"/>
      <c r="AC28" s="52">
        <f t="shared" si="8"/>
        <v>0</v>
      </c>
      <c r="AD28" s="52">
        <f t="shared" si="9"/>
        <v>0</v>
      </c>
      <c r="AE28" s="52">
        <f t="shared" si="10"/>
        <v>0</v>
      </c>
      <c r="AF28" s="52"/>
      <c r="AG28" s="49">
        <f t="shared" si="16"/>
        <v>4.9674600230274215E-4</v>
      </c>
      <c r="AH28" s="52"/>
      <c r="AI28" s="52"/>
      <c r="AJ28" s="52">
        <f t="shared" si="17"/>
        <v>0</v>
      </c>
      <c r="AK28" s="52"/>
      <c r="AL28" s="49">
        <f>+'[2]CDIS Table-4'!U25</f>
        <v>0</v>
      </c>
      <c r="AM28" s="52"/>
      <c r="AN28" s="52">
        <f t="shared" si="11"/>
        <v>0</v>
      </c>
      <c r="AO28" s="52">
        <f t="shared" si="12"/>
        <v>0</v>
      </c>
      <c r="AP28" s="52">
        <f t="shared" si="13"/>
        <v>0</v>
      </c>
      <c r="AQ28" s="52"/>
      <c r="AR28" s="52">
        <f t="shared" si="14"/>
        <v>0</v>
      </c>
      <c r="AS28" s="52"/>
      <c r="AT28" s="52">
        <f t="shared" si="18"/>
        <v>0</v>
      </c>
    </row>
    <row r="29" spans="1:46" ht="14" customHeight="1" x14ac:dyDescent="0.35">
      <c r="C29" s="297" t="s">
        <v>52</v>
      </c>
      <c r="D29" s="308">
        <f t="shared" si="0"/>
        <v>13447.638040435648</v>
      </c>
      <c r="E29" s="308">
        <f t="shared" si="4"/>
        <v>3450.0689107648268</v>
      </c>
      <c r="F29" s="281">
        <f>VLOOKUP($C29,'[2]Breakdown EU havens'!$S$67:$Y$97,F$2,0)/E106</f>
        <v>401.73657883620109</v>
      </c>
      <c r="G29" s="281">
        <f>VLOOKUP($C29,'[2]Breakdown EU havens'!$S$67:$Y$97,G$2,0)/E106</f>
        <v>0</v>
      </c>
      <c r="H29" s="281">
        <f>VLOOKUP($C29,'[2]Breakdown EU havens'!$S$67:$Y$97,H$2,0)/E106</f>
        <v>1841.2533586123398</v>
      </c>
      <c r="I29" s="281">
        <f>VLOOKUP($C29,'[2]Breakdown EU havens'!$S$67:$Y$97,I$2,0)/E106</f>
        <v>0</v>
      </c>
      <c r="J29" s="281">
        <f>VLOOKUP($C29,'[2]Breakdown EU havens'!$S$67:$Y$97,J$2,0)/E106</f>
        <v>1.5254653106330214</v>
      </c>
      <c r="K29" s="281">
        <f>VLOOKUP($C29,'[2]Breakdown EU havens'!$S$67:$Y$97,K$2,0)/E106</f>
        <v>1205.5535080056527</v>
      </c>
      <c r="L29" s="308">
        <f t="shared" si="5"/>
        <v>9997.569129670821</v>
      </c>
      <c r="M29" s="290">
        <f>VLOOKUP($C29,'[2]Breakdown non-EU havens'!$K$59:$M$86,3,0)/E106</f>
        <v>1209.6318569225591</v>
      </c>
      <c r="N29" s="295">
        <f>VLOOKUP($C29,'[2]Breakdown non-EU havens'!$K$59:$M$86,2,0)/E106</f>
        <v>8787.9372727482623</v>
      </c>
      <c r="O29" s="308">
        <f t="shared" si="2"/>
        <v>14006.87772359677</v>
      </c>
      <c r="P29" s="308">
        <f t="shared" si="6"/>
        <v>4917.6843544539624</v>
      </c>
      <c r="Q29" s="281">
        <f>VLOOKUP($C29,'[2]Breakdown EU havens'!$J$67:$P$94,Q$2,0)/E106</f>
        <v>3238.5557373240499</v>
      </c>
      <c r="R29" s="281">
        <f>VLOOKUP($C29,'[2]Breakdown EU havens'!$J$67:$P$94,R$2,0)/E106</f>
        <v>76.49916437666154</v>
      </c>
      <c r="S29" s="281">
        <f>VLOOKUP($C29,'[2]Breakdown EU havens'!$J$67:$P$94,S$2,0)/E106</f>
        <v>-842.62273382104968</v>
      </c>
      <c r="T29" s="281">
        <f>VLOOKUP($C29,'[2]Breakdown EU havens'!$J$67:$P$94,T$2,0)/E106</f>
        <v>0</v>
      </c>
      <c r="U29" s="281">
        <f>VLOOKUP($C29,'[2]Breakdown EU havens'!$J$67:$P$94,U$2,0)/E106</f>
        <v>229.68476118282609</v>
      </c>
      <c r="V29" s="281">
        <f>VLOOKUP($C29,'[2]Breakdown EU havens'!$J$67:$P$94,V$2,0)/E106</f>
        <v>2215.5674253914744</v>
      </c>
      <c r="W29" s="308">
        <f t="shared" si="7"/>
        <v>9089.1933691428076</v>
      </c>
      <c r="X29" s="290">
        <f>IFERROR(IFERROR(VLOOKUP(C29,'[2]Swiss pivot'!$E$3:$H$54,4,0),VLOOKUP($C29,'[2]Breakdown non-EU havens'!$F$59:$H$86,3,0)/$E$106),AJ29*'[2]Non-EU tax havens'!$I$8)</f>
        <v>1755.2778347175717</v>
      </c>
      <c r="Y29" s="289">
        <f>VLOOKUP($C29,'[2]Breakdown non-EU havens'!$F$59:$H$86,2,0)/E106</f>
        <v>7333.9155344252358</v>
      </c>
      <c r="Z29" s="266"/>
      <c r="AA29" s="49">
        <f>+'[2]CDIS Table-4'!O26</f>
        <v>0.11891862183622122</v>
      </c>
      <c r="AB29" s="52"/>
      <c r="AC29" s="52">
        <f t="shared" si="8"/>
        <v>0</v>
      </c>
      <c r="AD29" s="52">
        <f t="shared" si="9"/>
        <v>0</v>
      </c>
      <c r="AE29" s="52">
        <f t="shared" si="10"/>
        <v>0</v>
      </c>
      <c r="AF29" s="52"/>
      <c r="AG29" s="49">
        <f t="shared" si="16"/>
        <v>0.11891862183622122</v>
      </c>
      <c r="AH29" s="52"/>
      <c r="AI29" s="52"/>
      <c r="AJ29" s="52">
        <f t="shared" si="17"/>
        <v>0</v>
      </c>
      <c r="AK29" s="52"/>
      <c r="AL29" s="49">
        <f>+'[2]CDIS Table-4'!U26</f>
        <v>0</v>
      </c>
      <c r="AM29" s="52"/>
      <c r="AN29" s="52">
        <f t="shared" si="11"/>
        <v>0</v>
      </c>
      <c r="AO29" s="52">
        <f t="shared" si="12"/>
        <v>0</v>
      </c>
      <c r="AP29" s="52">
        <f t="shared" si="13"/>
        <v>0</v>
      </c>
      <c r="AQ29" s="52"/>
      <c r="AR29" s="52">
        <f t="shared" si="14"/>
        <v>0</v>
      </c>
      <c r="AS29" s="52"/>
      <c r="AT29" s="52">
        <f t="shared" si="18"/>
        <v>0</v>
      </c>
    </row>
    <row r="30" spans="1:46" ht="14" customHeight="1" x14ac:dyDescent="0.35">
      <c r="C30" s="297" t="s">
        <v>53</v>
      </c>
      <c r="D30" s="308">
        <f t="shared" si="0"/>
        <v>2920.7405944582115</v>
      </c>
      <c r="E30" s="308">
        <f t="shared" si="4"/>
        <v>1880.849164980471</v>
      </c>
      <c r="F30" s="281">
        <f>HLOOKUP($C30,'[2]Interest shifted to EU'!$L$12:$AT$18,F$2,0)/E106</f>
        <v>71.23678675241942</v>
      </c>
      <c r="G30" s="281">
        <f>HLOOKUP($C30,'[2]Interest shifted to EU'!$L$12:$AT$18,G$2,0)/E106</f>
        <v>0</v>
      </c>
      <c r="H30" s="281">
        <f>HLOOKUP($C30,'[2]Interest shifted to EU'!$L$12:$AT$18,H$2,0)/E106</f>
        <v>60.201832601956276</v>
      </c>
      <c r="I30" s="281">
        <f>HLOOKUP($C30,'[2]Interest shifted to EU'!$L$12:$AT$18,I$2,0)/E106</f>
        <v>190.15458757093458</v>
      </c>
      <c r="J30" s="281">
        <f>HLOOKUP($C30,'[2]Interest shifted to EU'!$L$12:$AT$18,J$2,0)/E106</f>
        <v>89.038597486308021</v>
      </c>
      <c r="K30" s="281">
        <f>HLOOKUP($C30,'[2]Interest shifted to EU'!$L$12:$AT$18,K$2,0)/E106</f>
        <v>1470.2173605688527</v>
      </c>
      <c r="L30" s="308">
        <f t="shared" si="5"/>
        <v>1039.8914294777408</v>
      </c>
      <c r="M30" s="290">
        <f>AC30*'[2]Non-EU tax havens'!$M$8</f>
        <v>131.97584113078295</v>
      </c>
      <c r="N30" s="295">
        <f>AC30*'[2]Non-EU tax havens'!$M$13</f>
        <v>907.91558834695786</v>
      </c>
      <c r="O30" s="308">
        <f t="shared" si="2"/>
        <v>14160.998716473528</v>
      </c>
      <c r="P30" s="308">
        <f t="shared" si="6"/>
        <v>1791.6910900658017</v>
      </c>
      <c r="Q30" s="281">
        <f>HLOOKUP($C30,'[2]Non EU income shifted to EU'!$A$2:$AI$18,Q$2+10,0)/E106</f>
        <v>186.33685571633737</v>
      </c>
      <c r="R30" s="281">
        <f>HLOOKUP($C30,'[2]Non EU income shifted to EU'!$A$2:$AI$18,R$2+10,0)/E106</f>
        <v>0</v>
      </c>
      <c r="S30" s="281">
        <f>HLOOKUP($C30,'[2]Non EU income shifted to EU'!$A$2:$AI$18,S$2+10,0)/E106</f>
        <v>550.83287599002904</v>
      </c>
      <c r="T30" s="281">
        <f>HLOOKUP($C30,'[2]Non EU income shifted to EU'!$A$2:$AI$18,T$2+10,0)/E106</f>
        <v>134.76845111368638</v>
      </c>
      <c r="U30" s="281">
        <f>HLOOKUP($C30,'[2]Non EU income shifted to EU'!$A$2:$AI$18,U$2+10,0)/E106</f>
        <v>0.1580457238323143</v>
      </c>
      <c r="V30" s="281">
        <f>HLOOKUP($C30,'[2]Non EU income shifted to EU'!$A$2:$AI$18,V$2+10,0)/E106</f>
        <v>919.59486152191676</v>
      </c>
      <c r="W30" s="308">
        <f t="shared" si="7"/>
        <v>12369.307626407726</v>
      </c>
      <c r="X30" s="290">
        <f>IFERROR(IFERROR(VLOOKUP(C30,'[2]Swiss pivot'!$E$3:$H$54,4,0),VLOOKUP($C30,'[2]Breakdown non-EU havens'!$F$59:$H$86,3,0)/$E$106),AJ30*'[2]Non-EU tax havens'!$I$8)</f>
        <v>487.12911205795018</v>
      </c>
      <c r="Y30" s="289">
        <f>AE30*'[2]Non-EU tax havens'!$O$13</f>
        <v>11882.178514349776</v>
      </c>
      <c r="Z30" s="266"/>
      <c r="AA30" s="49">
        <f>+'[2]CDIS Table-4'!O27</f>
        <v>1.3983804982289147E-2</v>
      </c>
      <c r="AB30" s="52">
        <f>+AA30</f>
        <v>1.3983804982289147E-2</v>
      </c>
      <c r="AC30" s="52">
        <f t="shared" si="8"/>
        <v>3.1788310385094963E-2</v>
      </c>
      <c r="AD30" s="52">
        <f t="shared" si="9"/>
        <v>1.3983804982289147E-2</v>
      </c>
      <c r="AE30" s="52">
        <f t="shared" si="10"/>
        <v>4.1976931097371037E-2</v>
      </c>
      <c r="AF30" s="52"/>
      <c r="AG30" s="49">
        <f t="shared" si="16"/>
        <v>1.3983804982289147E-2</v>
      </c>
      <c r="AH30" s="52">
        <f>+AG30</f>
        <v>1.3983804982289147E-2</v>
      </c>
      <c r="AI30" s="52"/>
      <c r="AJ30" s="52">
        <f t="shared" si="17"/>
        <v>0</v>
      </c>
      <c r="AK30" s="52"/>
      <c r="AL30" s="49">
        <f>+'[2]CDIS Table-4'!U27</f>
        <v>0</v>
      </c>
      <c r="AM30" s="52">
        <f>+AL30</f>
        <v>0</v>
      </c>
      <c r="AN30" s="52">
        <f t="shared" si="11"/>
        <v>0</v>
      </c>
      <c r="AO30" s="52">
        <f t="shared" si="12"/>
        <v>0</v>
      </c>
      <c r="AP30" s="52">
        <f t="shared" si="13"/>
        <v>0</v>
      </c>
      <c r="AQ30" s="52"/>
      <c r="AR30" s="52">
        <f t="shared" si="14"/>
        <v>0</v>
      </c>
      <c r="AS30" s="52"/>
      <c r="AT30" s="52">
        <f t="shared" si="18"/>
        <v>0</v>
      </c>
    </row>
    <row r="31" spans="1:46" ht="14" customHeight="1" x14ac:dyDescent="0.35">
      <c r="C31" s="297" t="s">
        <v>54</v>
      </c>
      <c r="D31" s="308">
        <f t="shared" si="0"/>
        <v>17000.538547058859</v>
      </c>
      <c r="E31" s="308">
        <f t="shared" si="4"/>
        <v>4951.7167811304689</v>
      </c>
      <c r="F31" s="281">
        <f>VLOOKUP($C31,'[2]Breakdown EU havens'!$S$67:$Y$97,F$2,0)/E106</f>
        <v>283.41088703690468</v>
      </c>
      <c r="G31" s="281">
        <f>VLOOKUP($C31,'[2]Breakdown EU havens'!$S$67:$Y$97,G$2,0)/E106</f>
        <v>0.11264273333821766</v>
      </c>
      <c r="H31" s="281">
        <f>VLOOKUP($C31,'[2]Breakdown EU havens'!$S$67:$Y$97,H$2,0)/E106</f>
        <v>4036.6270402895707</v>
      </c>
      <c r="I31" s="281">
        <f>VLOOKUP($C31,'[2]Breakdown EU havens'!$S$67:$Y$97,I$2,0)/E106</f>
        <v>629.32886194839421</v>
      </c>
      <c r="J31" s="281">
        <f>VLOOKUP($C31,'[2]Breakdown EU havens'!$S$67:$Y$97,J$2,0)/E106</f>
        <v>2.2373491222617647</v>
      </c>
      <c r="K31" s="281">
        <f>VLOOKUP($C31,'[2]Breakdown EU havens'!$S$67:$Y$97,K$2,0)/E106</f>
        <v>0</v>
      </c>
      <c r="L31" s="308">
        <f t="shared" si="5"/>
        <v>12048.821765928389</v>
      </c>
      <c r="M31" s="290">
        <f>VLOOKUP($C31,'[2]Breakdown non-EU havens'!$K$59:$M$86,3,0)/E106</f>
        <v>2080.9910302756348</v>
      </c>
      <c r="N31" s="295">
        <f>VLOOKUP($C31,'[2]Breakdown non-EU havens'!$K$59:$M$86,2,0)/E106</f>
        <v>9967.8307356527548</v>
      </c>
      <c r="O31" s="308">
        <f t="shared" si="2"/>
        <v>44797.33241801065</v>
      </c>
      <c r="P31" s="308">
        <f t="shared" si="6"/>
        <v>14851.944898073367</v>
      </c>
      <c r="Q31" s="281">
        <f>VLOOKUP($C31,'[2]Breakdown EU havens'!$J$67:$P$94,Q$2,0)/E106</f>
        <v>6204.1863692937795</v>
      </c>
      <c r="R31" s="281">
        <f>VLOOKUP($C31,'[2]Breakdown EU havens'!$J$67:$P$94,R$2,0)/E106</f>
        <v>24.862228422415004</v>
      </c>
      <c r="S31" s="281">
        <f>VLOOKUP($C31,'[2]Breakdown EU havens'!$J$67:$P$94,S$2,0)/E106</f>
        <v>5570.3795745216321</v>
      </c>
      <c r="T31" s="281">
        <f>VLOOKUP($C31,'[2]Breakdown EU havens'!$J$67:$P$94,T$2,0)/E106</f>
        <v>2730.9580601795838</v>
      </c>
      <c r="U31" s="281">
        <f>VLOOKUP($C31,'[2]Breakdown EU havens'!$J$67:$P$94,U$2,0)/E106</f>
        <v>321.55866565595653</v>
      </c>
      <c r="V31" s="281">
        <f>VLOOKUP($C31,'[2]Breakdown EU havens'!$J$67:$P$94,V$2,0)/E106</f>
        <v>0</v>
      </c>
      <c r="W31" s="308">
        <f t="shared" si="7"/>
        <v>29945.387519937281</v>
      </c>
      <c r="X31" s="290">
        <f>IFERROR(IFERROR(VLOOKUP(C31,'[2]Swiss pivot'!$E$3:$H$54,4,0),VLOOKUP($C31,'[2]Breakdown non-EU havens'!$F$59:$H$86,3,0)/$E$106),AJ31*'[2]Non-EU tax havens'!$I$8)</f>
        <v>1468.6913413377235</v>
      </c>
      <c r="Y31" s="289">
        <f>VLOOKUP($C31,'[2]Breakdown non-EU havens'!$F$59:$H$86,2,0)/E106</f>
        <v>28476.696178599559</v>
      </c>
      <c r="Z31" s="266"/>
      <c r="AA31" s="49">
        <f>+'[2]CDIS Table-4'!O28</f>
        <v>0.13981874897109201</v>
      </c>
      <c r="AB31" s="52"/>
      <c r="AC31" s="52"/>
      <c r="AD31" s="52"/>
      <c r="AE31" s="52"/>
      <c r="AF31" s="52"/>
      <c r="AG31" s="49">
        <f t="shared" si="16"/>
        <v>0.13981874897109201</v>
      </c>
      <c r="AH31" s="52"/>
      <c r="AI31" s="52"/>
      <c r="AJ31" s="52">
        <f t="shared" si="17"/>
        <v>0</v>
      </c>
      <c r="AK31" s="52"/>
      <c r="AL31" s="49">
        <f>+'[2]CDIS Table-4'!U28</f>
        <v>0</v>
      </c>
      <c r="AM31" s="52"/>
      <c r="AN31" s="52"/>
      <c r="AO31" s="52"/>
      <c r="AP31" s="52"/>
      <c r="AQ31" s="52"/>
      <c r="AR31" s="52">
        <f t="shared" si="14"/>
        <v>0</v>
      </c>
      <c r="AS31" s="52"/>
      <c r="AT31" s="52">
        <f t="shared" si="18"/>
        <v>0</v>
      </c>
    </row>
    <row r="32" spans="1:46" ht="14" customHeight="1" x14ac:dyDescent="0.35">
      <c r="C32" s="297" t="s">
        <v>55</v>
      </c>
      <c r="D32" s="308">
        <f t="shared" si="0"/>
        <v>209.90020736078537</v>
      </c>
      <c r="E32" s="308">
        <f t="shared" si="4"/>
        <v>52.03213092447244</v>
      </c>
      <c r="F32" s="281">
        <f>HLOOKUP($C32,'[2]Interest shifted to EU'!$L$12:$AT$18,F$2,0)/E106</f>
        <v>17.761957439595292</v>
      </c>
      <c r="G32" s="281">
        <f>HLOOKUP($C32,'[2]Interest shifted to EU'!$L$12:$AT$18,G$2,0)/E106</f>
        <v>0</v>
      </c>
      <c r="H32" s="281">
        <f>HLOOKUP($C32,'[2]Interest shifted to EU'!$L$12:$AT$18,H$2,0)/E106</f>
        <v>0</v>
      </c>
      <c r="I32" s="281">
        <f>HLOOKUP($C32,'[2]Interest shifted to EU'!$L$12:$AT$18,I$2,0)/E106</f>
        <v>0</v>
      </c>
      <c r="J32" s="281">
        <f>HLOOKUP($C32,'[2]Interest shifted to EU'!$L$12:$AT$18,J$2,0)/E106</f>
        <v>4.4460797693557232</v>
      </c>
      <c r="K32" s="281">
        <f>HLOOKUP($C32,'[2]Interest shifted to EU'!$L$12:$AT$18,K$2,0)/E106</f>
        <v>29.824093715521428</v>
      </c>
      <c r="L32" s="308">
        <f t="shared" si="5"/>
        <v>157.86807643631292</v>
      </c>
      <c r="M32" s="290">
        <f>AC32*'[2]Non-EU tax havens'!$M$8</f>
        <v>20.035526387446879</v>
      </c>
      <c r="N32" s="295">
        <f>AC32*'[2]Non-EU tax havens'!$M$13</f>
        <v>137.83255004886604</v>
      </c>
      <c r="O32" s="308">
        <f t="shared" si="2"/>
        <v>2437.3305180051443</v>
      </c>
      <c r="P32" s="308">
        <f t="shared" si="6"/>
        <v>430.27048917829018</v>
      </c>
      <c r="Q32" s="281">
        <f>HLOOKUP($C32,'[2]Non EU income shifted to EU'!$A$2:$AI$18,Q$2+10,0)/E106</f>
        <v>39.972485885769551</v>
      </c>
      <c r="R32" s="281">
        <f>HLOOKUP($C32,'[2]Non EU income shifted to EU'!$A$2:$AI$18,R$2+10,0)/E106</f>
        <v>0</v>
      </c>
      <c r="S32" s="281">
        <f>HLOOKUP($C32,'[2]Non EU income shifted to EU'!$A$2:$AI$18,S$2+10,0)/E106</f>
        <v>143.33546310457578</v>
      </c>
      <c r="T32" s="281">
        <f>HLOOKUP($C32,'[2]Non EU income shifted to EU'!$A$2:$AI$18,T$2+10,0)/E106</f>
        <v>108.65053423118901</v>
      </c>
      <c r="U32" s="281">
        <f>HLOOKUP($C32,'[2]Non EU income shifted to EU'!$A$2:$AI$18,U$2+10,0)/E106</f>
        <v>0.6321828953292572</v>
      </c>
      <c r="V32" s="281">
        <f>HLOOKUP($C32,'[2]Non EU income shifted to EU'!$A$2:$AI$18,V$2+10,0)/E106</f>
        <v>137.67982306142662</v>
      </c>
      <c r="W32" s="308">
        <f t="shared" si="7"/>
        <v>2007.0600288268542</v>
      </c>
      <c r="X32" s="290">
        <f>+'[2]Swiss pivot'!$H$8</f>
        <v>203.20184444373351</v>
      </c>
      <c r="Y32" s="289">
        <f>AE32*'[2]Non-EU tax havens'!$O$13</f>
        <v>1803.8581843831207</v>
      </c>
      <c r="Z32" s="266"/>
      <c r="AA32" s="49">
        <f>+'[2]CDIS Table-4'!O29</f>
        <v>2.1229104608768879E-3</v>
      </c>
      <c r="AB32" s="52">
        <f>+AA32</f>
        <v>2.1229104608768879E-3</v>
      </c>
      <c r="AC32" s="52">
        <f t="shared" ref="AC32:AC63" si="19">+AB32/$AB$104</f>
        <v>4.8258493833108667E-3</v>
      </c>
      <c r="AD32" s="52">
        <f t="shared" ref="AD32:AD42" si="20">+AB32</f>
        <v>2.1229104608768879E-3</v>
      </c>
      <c r="AE32" s="52">
        <f t="shared" ref="AE32:AE63" si="21">+AD32/$AD$104</f>
        <v>6.3726050424030931E-3</v>
      </c>
      <c r="AF32" s="52"/>
      <c r="AG32" s="49">
        <f t="shared" si="16"/>
        <v>2.1229104608768879E-3</v>
      </c>
      <c r="AH32" s="52">
        <f>+AG32</f>
        <v>2.1229104608768879E-3</v>
      </c>
      <c r="AI32" s="52"/>
      <c r="AJ32" s="52">
        <f t="shared" si="17"/>
        <v>0</v>
      </c>
      <c r="AK32" s="52"/>
      <c r="AL32" s="49">
        <f>+'[2]CDIS Table-4'!U29</f>
        <v>0</v>
      </c>
      <c r="AM32" s="52">
        <f>+AL32</f>
        <v>0</v>
      </c>
      <c r="AN32" s="52">
        <f t="shared" ref="AN32:AN63" si="22">+AM32/$AB$104</f>
        <v>0</v>
      </c>
      <c r="AO32" s="52">
        <f t="shared" ref="AO32:AO42" si="23">+AM32</f>
        <v>0</v>
      </c>
      <c r="AP32" s="52">
        <f t="shared" ref="AP32:AP63" si="24">+AO32/$AD$104</f>
        <v>0</v>
      </c>
      <c r="AQ32" s="52"/>
      <c r="AR32" s="52">
        <f t="shared" si="14"/>
        <v>0</v>
      </c>
      <c r="AS32" s="52"/>
      <c r="AT32" s="52">
        <f t="shared" si="18"/>
        <v>0</v>
      </c>
    </row>
    <row r="33" spans="2:46" ht="14" customHeight="1" x14ac:dyDescent="0.35">
      <c r="C33" s="297" t="s">
        <v>56</v>
      </c>
      <c r="D33" s="308">
        <f t="shared" si="0"/>
        <v>588.07215039415723</v>
      </c>
      <c r="E33" s="308">
        <f t="shared" si="4"/>
        <v>276.64090827096481</v>
      </c>
      <c r="F33" s="281">
        <f>HLOOKUP($C33,'[2]Interest shifted to EU'!$L$12:$AT$18,F$2,0)/E106</f>
        <v>24.469930727953084</v>
      </c>
      <c r="G33" s="281">
        <f>HLOOKUP($C33,'[2]Interest shifted to EU'!$L$12:$AT$18,G$2,0)/E106</f>
        <v>0</v>
      </c>
      <c r="H33" s="281">
        <f>HLOOKUP($C33,'[2]Interest shifted to EU'!$L$12:$AT$18,H$2,0)/E106</f>
        <v>0</v>
      </c>
      <c r="I33" s="281">
        <f>HLOOKUP($C33,'[2]Interest shifted to EU'!$L$12:$AT$18,I$2,0)/E106</f>
        <v>0</v>
      </c>
      <c r="J33" s="281">
        <f>HLOOKUP($C33,'[2]Interest shifted to EU'!$L$12:$AT$18,J$2,0)/E106</f>
        <v>63.06413146533513</v>
      </c>
      <c r="K33" s="281">
        <f>HLOOKUP($C33,'[2]Interest shifted to EU'!$L$12:$AT$18,K$2,0)/E106</f>
        <v>189.10684607767661</v>
      </c>
      <c r="L33" s="308">
        <f t="shared" si="5"/>
        <v>311.43124212319242</v>
      </c>
      <c r="M33" s="290">
        <f>AC33*'[2]Non-EU tax havens'!$M$8</f>
        <v>39.524703222388304</v>
      </c>
      <c r="N33" s="295">
        <f>AC33*'[2]Non-EU tax havens'!$M$13</f>
        <v>271.90653890080409</v>
      </c>
      <c r="O33" s="308">
        <f t="shared" si="2"/>
        <v>6234.3306397971301</v>
      </c>
      <c r="P33" s="308">
        <f t="shared" si="6"/>
        <v>2484.1659681578394</v>
      </c>
      <c r="Q33" s="281">
        <f>HLOOKUP($C33,'[2]Non EU income shifted to EU'!$A$2:$AI$18,Q$2+10,0)/E106</f>
        <v>138.97410790517554</v>
      </c>
      <c r="R33" s="281">
        <f>HLOOKUP($C33,'[2]Non EU income shifted to EU'!$A$2:$AI$18,R$2+10,0)/E106</f>
        <v>3.6289196168149838</v>
      </c>
      <c r="S33" s="281">
        <f>HLOOKUP($C33,'[2]Non EU income shifted to EU'!$A$2:$AI$18,S$2+10,0)/E106</f>
        <v>1576.6900941503336</v>
      </c>
      <c r="T33" s="281">
        <f>HLOOKUP($C33,'[2]Non EU income shifted to EU'!$A$2:$AI$18,T$2+10,0)/E106</f>
        <v>258.04501879907394</v>
      </c>
      <c r="U33" s="281">
        <f>HLOOKUP($C33,'[2]Non EU income shifted to EU'!$A$2:$AI$18,U$2+10,0)/E106</f>
        <v>81.077456325977238</v>
      </c>
      <c r="V33" s="281">
        <f>HLOOKUP($C33,'[2]Non EU income shifted to EU'!$A$2:$AI$18,V$2+10,0)/E106</f>
        <v>425.75037136046433</v>
      </c>
      <c r="W33" s="308">
        <f t="shared" si="7"/>
        <v>3750.1646716392906</v>
      </c>
      <c r="X33" s="290">
        <f>IFERROR(IFERROR(VLOOKUP(C33,'[2]Swiss pivot'!$E$3:$H$54,4,0),VLOOKUP($C33,'[2]Breakdown non-EU havens'!$F$59:$H$86,3,0)/$E$106),AJ33*'[2]Non-EU tax havens'!$I$8)</f>
        <v>191.6377822389866</v>
      </c>
      <c r="Y33" s="289">
        <f>AE33*'[2]Non-EU tax havens'!$O$13</f>
        <v>3558.5268894003038</v>
      </c>
      <c r="Z33" s="266"/>
      <c r="AA33" s="49">
        <f>+'[2]CDIS Table-4'!O30</f>
        <v>4.1879311933842762E-3</v>
      </c>
      <c r="AB33" s="52">
        <f>+AA33</f>
        <v>4.1879311933842762E-3</v>
      </c>
      <c r="AC33" s="52">
        <f t="shared" si="19"/>
        <v>9.5201024910837682E-3</v>
      </c>
      <c r="AD33" s="52">
        <f t="shared" si="20"/>
        <v>4.1879311933842762E-3</v>
      </c>
      <c r="AE33" s="52">
        <f t="shared" si="21"/>
        <v>1.2571435268717884E-2</v>
      </c>
      <c r="AF33" s="52"/>
      <c r="AG33" s="49">
        <f t="shared" si="16"/>
        <v>4.1879311933842762E-3</v>
      </c>
      <c r="AH33" s="52">
        <f>+AG33</f>
        <v>4.1879311933842762E-3</v>
      </c>
      <c r="AI33" s="52"/>
      <c r="AJ33" s="52">
        <f t="shared" si="17"/>
        <v>0</v>
      </c>
      <c r="AK33" s="52"/>
      <c r="AL33" s="49">
        <f>+'[2]CDIS Table-4'!U30</f>
        <v>0</v>
      </c>
      <c r="AM33" s="52">
        <f>+AL33</f>
        <v>0</v>
      </c>
      <c r="AN33" s="52">
        <f t="shared" si="22"/>
        <v>0</v>
      </c>
      <c r="AO33" s="52">
        <f t="shared" si="23"/>
        <v>0</v>
      </c>
      <c r="AP33" s="52">
        <f t="shared" si="24"/>
        <v>0</v>
      </c>
      <c r="AQ33" s="52"/>
      <c r="AR33" s="52">
        <f t="shared" si="14"/>
        <v>0</v>
      </c>
      <c r="AS33" s="52"/>
      <c r="AT33" s="52">
        <f t="shared" si="18"/>
        <v>0</v>
      </c>
    </row>
    <row r="34" spans="2:46" ht="14" customHeight="1" x14ac:dyDescent="0.35">
      <c r="C34" s="297" t="s">
        <v>57</v>
      </c>
      <c r="D34" s="308">
        <f t="shared" si="0"/>
        <v>679.45593562970248</v>
      </c>
      <c r="E34" s="308">
        <f t="shared" si="4"/>
        <v>603.67214106808933</v>
      </c>
      <c r="F34" s="281">
        <f>VLOOKUP($C34,'[2]Breakdown EU havens'!$S$67:$Y$97,F$2,0)/E106</f>
        <v>93.409242784045659</v>
      </c>
      <c r="G34" s="281">
        <f>VLOOKUP($C34,'[2]Breakdown EU havens'!$S$67:$Y$97,G$2,0)/E106</f>
        <v>0</v>
      </c>
      <c r="H34" s="281">
        <f>VLOOKUP($C34,'[2]Breakdown EU havens'!$S$67:$Y$97,H$2,0)/E106</f>
        <v>31.987145970277542</v>
      </c>
      <c r="I34" s="281">
        <f>VLOOKUP($C34,'[2]Breakdown EU havens'!$S$67:$Y$97,I$2,0)/E106</f>
        <v>235.89568338829835</v>
      </c>
      <c r="J34" s="281">
        <f>VLOOKUP($C34,'[2]Breakdown EU havens'!$S$67:$Y$97,J$2,0)/E106</f>
        <v>0.81358149900427812</v>
      </c>
      <c r="K34" s="281">
        <f>VLOOKUP($C34,'[2]Breakdown EU havens'!$S$67:$Y$97,K$2,0)/E106</f>
        <v>241.56648742646351</v>
      </c>
      <c r="L34" s="308">
        <f t="shared" si="5"/>
        <v>75.783794561613149</v>
      </c>
      <c r="M34" s="290">
        <f>VLOOKUP($C34,'[2]Breakdown non-EU havens'!$K$59:$M$86,3,0)/E106</f>
        <v>63.077249576487858</v>
      </c>
      <c r="N34" s="295">
        <f>VLOOKUP($C34,'[2]Breakdown non-EU havens'!$K$59:$M$86,2,0)/E106</f>
        <v>12.706544985125296</v>
      </c>
      <c r="O34" s="308">
        <f t="shared" si="2"/>
        <v>3810.8496180773045</v>
      </c>
      <c r="P34" s="308">
        <f t="shared" si="6"/>
        <v>3301.845734637669</v>
      </c>
      <c r="Q34" s="281">
        <f>VLOOKUP($C34,'[2]Breakdown EU havens'!$J$67:$P$94,Q$2,0)/E106</f>
        <v>271.36997654888194</v>
      </c>
      <c r="R34" s="281">
        <f>VLOOKUP($C34,'[2]Breakdown EU havens'!$J$67:$P$94,R$2,0)/E106</f>
        <v>4.4624512553052567</v>
      </c>
      <c r="S34" s="281">
        <f>VLOOKUP($C34,'[2]Breakdown EU havens'!$J$67:$P$94,S$2,0)/E106</f>
        <v>1267.6251890524427</v>
      </c>
      <c r="T34" s="281">
        <f>VLOOKUP($C34,'[2]Breakdown EU havens'!$J$67:$P$94,T$2,0)/E106</f>
        <v>631.52899108807446</v>
      </c>
      <c r="U34" s="281">
        <f>VLOOKUP($C34,'[2]Breakdown EU havens'!$J$67:$P$94,U$2,0)/E106</f>
        <v>153.67004260089078</v>
      </c>
      <c r="V34" s="281">
        <f>VLOOKUP($C34,'[2]Breakdown EU havens'!$J$67:$P$94,V$2,0)/E106</f>
        <v>973.1890840920737</v>
      </c>
      <c r="W34" s="308">
        <f t="shared" si="7"/>
        <v>509.00388343963539</v>
      </c>
      <c r="X34" s="290">
        <f>IFERROR(IFERROR(VLOOKUP(C34,'[2]Swiss pivot'!$E$3:$H$54,4,0),VLOOKUP($C34,'[2]Breakdown non-EU havens'!$F$59:$H$86,3,0)/$E$106),AJ34*'[2]Non-EU tax havens'!$I$8)</f>
        <v>361.21484090746515</v>
      </c>
      <c r="Y34" s="289">
        <f>VLOOKUP($C34,'[2]Breakdown non-EU havens'!$F$59:$H$86,2,0)/E106</f>
        <v>147.78904253217027</v>
      </c>
      <c r="Z34" s="266"/>
      <c r="AA34" s="49">
        <f>+'[2]CDIS Table-4'!O31</f>
        <v>6.8099108675849793E-3</v>
      </c>
      <c r="AB34" s="52"/>
      <c r="AC34" s="52">
        <f t="shared" si="19"/>
        <v>0</v>
      </c>
      <c r="AD34" s="52">
        <f t="shared" si="20"/>
        <v>0</v>
      </c>
      <c r="AE34" s="52">
        <f t="shared" si="21"/>
        <v>0</v>
      </c>
      <c r="AF34" s="52"/>
      <c r="AG34" s="49">
        <f t="shared" si="16"/>
        <v>6.8099108675849793E-3</v>
      </c>
      <c r="AH34" s="52"/>
      <c r="AI34" s="52"/>
      <c r="AJ34" s="52">
        <f t="shared" si="17"/>
        <v>0</v>
      </c>
      <c r="AK34" s="52"/>
      <c r="AL34" s="49">
        <f>+'[2]CDIS Table-4'!U31</f>
        <v>0</v>
      </c>
      <c r="AM34" s="52"/>
      <c r="AN34" s="52">
        <f t="shared" si="22"/>
        <v>0</v>
      </c>
      <c r="AO34" s="52">
        <f t="shared" si="23"/>
        <v>0</v>
      </c>
      <c r="AP34" s="52">
        <f t="shared" si="24"/>
        <v>0</v>
      </c>
      <c r="AQ34" s="52"/>
      <c r="AR34" s="52">
        <f t="shared" si="14"/>
        <v>0</v>
      </c>
      <c r="AS34" s="52"/>
      <c r="AT34" s="52">
        <f t="shared" si="18"/>
        <v>0</v>
      </c>
    </row>
    <row r="35" spans="2:46" ht="14" customHeight="1" x14ac:dyDescent="0.35">
      <c r="C35" s="297" t="s">
        <v>58</v>
      </c>
      <c r="D35" s="308">
        <f t="shared" si="0"/>
        <v>729.82188135284969</v>
      </c>
      <c r="E35" s="308">
        <f t="shared" si="4"/>
        <v>691.75224930757122</v>
      </c>
      <c r="F35" s="281">
        <f>VLOOKUP($C35,'[2]Breakdown EU havens'!$S$67:$Y$97,F$2,0)/E106</f>
        <v>32.270643217989921</v>
      </c>
      <c r="G35" s="281">
        <f>VLOOKUP($C35,'[2]Breakdown EU havens'!$S$67:$Y$97,G$2,0)/E106</f>
        <v>0</v>
      </c>
      <c r="H35" s="281">
        <f>VLOOKUP($C35,'[2]Breakdown EU havens'!$S$67:$Y$97,H$2,0)/E106</f>
        <v>53.850414091376337</v>
      </c>
      <c r="I35" s="281">
        <f>VLOOKUP($C35,'[2]Breakdown EU havens'!$S$67:$Y$97,I$2,0)/E106</f>
        <v>139.59018559526356</v>
      </c>
      <c r="J35" s="281">
        <f>VLOOKUP($C35,'[2]Breakdown EU havens'!$S$67:$Y$97,J$2,0)/E106</f>
        <v>0</v>
      </c>
      <c r="K35" s="281">
        <f>VLOOKUP($C35,'[2]Breakdown EU havens'!$S$67:$Y$97,K$2,0)/E106</f>
        <v>466.04100640294138</v>
      </c>
      <c r="L35" s="308">
        <f t="shared" si="5"/>
        <v>38.06963204527851</v>
      </c>
      <c r="M35" s="290">
        <f>VLOOKUP($C35,'[2]Breakdown non-EU havens'!$K$59:$M$86,3,0)/E106</f>
        <v>38.06963204527851</v>
      </c>
      <c r="N35" s="295">
        <f>VLOOKUP($C35,'[2]Breakdown non-EU havens'!$K$59:$M$86,2,0)/E106</f>
        <v>0</v>
      </c>
      <c r="O35" s="308">
        <f t="shared" si="2"/>
        <v>2164.3947406434163</v>
      </c>
      <c r="P35" s="308">
        <f t="shared" si="6"/>
        <v>1910.5989460928472</v>
      </c>
      <c r="Q35" s="281">
        <f>VLOOKUP($C35,'[2]Breakdown EU havens'!$J$67:$P$94,Q$2,0)/E106</f>
        <v>227.04880559390699</v>
      </c>
      <c r="R35" s="281">
        <f>VLOOKUP($C35,'[2]Breakdown EU havens'!$J$67:$P$94,R$2,0)/E106</f>
        <v>1.2749860729443592</v>
      </c>
      <c r="S35" s="281">
        <f>VLOOKUP($C35,'[2]Breakdown EU havens'!$J$67:$P$94,S$2,0)/E106</f>
        <v>669.66888107179795</v>
      </c>
      <c r="T35" s="281">
        <f>VLOOKUP($C35,'[2]Breakdown EU havens'!$J$67:$P$94,T$2,0)/E106</f>
        <v>473.53107866567348</v>
      </c>
      <c r="U35" s="281">
        <f>VLOOKUP($C35,'[2]Breakdown EU havens'!$J$67:$P$94,U$2,0)/E106</f>
        <v>36.093319614444098</v>
      </c>
      <c r="V35" s="281">
        <f>VLOOKUP($C35,'[2]Breakdown EU havens'!$J$67:$P$94,V$2,0)/E106</f>
        <v>502.98187507408028</v>
      </c>
      <c r="W35" s="308">
        <f t="shared" si="7"/>
        <v>253.79579455056916</v>
      </c>
      <c r="X35" s="290">
        <f>IFERROR(IFERROR(VLOOKUP(C35,'[2]Swiss pivot'!$E$3:$H$54,4,0),VLOOKUP($C35,'[2]Breakdown non-EU havens'!$F$59:$H$86,3,0)/$E$106),AJ35*'[2]Non-EU tax havens'!$I$8)</f>
        <v>160.206352167636</v>
      </c>
      <c r="Y35" s="289">
        <f>VLOOKUP($C35,'[2]Breakdown non-EU havens'!$F$59:$H$86,2,0)/E106</f>
        <v>93.589442382933171</v>
      </c>
      <c r="Z35" s="266"/>
      <c r="AA35" s="49">
        <f>+'[2]CDIS Table-4'!O32</f>
        <v>4.6623666764422506E-3</v>
      </c>
      <c r="AB35" s="52"/>
      <c r="AC35" s="52">
        <f t="shared" si="19"/>
        <v>0</v>
      </c>
      <c r="AD35" s="52">
        <f t="shared" si="20"/>
        <v>0</v>
      </c>
      <c r="AE35" s="52">
        <f t="shared" si="21"/>
        <v>0</v>
      </c>
      <c r="AF35" s="52"/>
      <c r="AG35" s="49">
        <f t="shared" si="16"/>
        <v>4.6623666764422506E-3</v>
      </c>
      <c r="AH35" s="52"/>
      <c r="AI35" s="52"/>
      <c r="AJ35" s="52">
        <f t="shared" si="17"/>
        <v>0</v>
      </c>
      <c r="AK35" s="52"/>
      <c r="AL35" s="49">
        <f>+'[2]CDIS Table-4'!U32</f>
        <v>0</v>
      </c>
      <c r="AM35" s="52"/>
      <c r="AN35" s="52">
        <f t="shared" si="22"/>
        <v>0</v>
      </c>
      <c r="AO35" s="52">
        <f t="shared" si="23"/>
        <v>0</v>
      </c>
      <c r="AP35" s="52">
        <f t="shared" si="24"/>
        <v>0</v>
      </c>
      <c r="AQ35" s="52"/>
      <c r="AR35" s="52">
        <f t="shared" si="14"/>
        <v>0</v>
      </c>
      <c r="AS35" s="52"/>
      <c r="AT35" s="52">
        <f t="shared" si="18"/>
        <v>0</v>
      </c>
    </row>
    <row r="36" spans="2:46" ht="14" customHeight="1" x14ac:dyDescent="0.35">
      <c r="C36" s="297" t="s">
        <v>293</v>
      </c>
      <c r="D36" s="308">
        <f t="shared" si="0"/>
        <v>156.65705196212531</v>
      </c>
      <c r="E36" s="308">
        <f t="shared" si="4"/>
        <v>135.95275521405887</v>
      </c>
      <c r="F36" s="281">
        <f>VLOOKUP($C36,'[2]Breakdown EU havens'!$S$67:$Y$97,F$2,0)/E106</f>
        <v>18.769659830871692</v>
      </c>
      <c r="G36" s="281">
        <f>VLOOKUP($C36,'[2]Breakdown EU havens'!$S$67:$Y$97,G$2,0)/E106</f>
        <v>0</v>
      </c>
      <c r="H36" s="281">
        <f>VLOOKUP($C36,'[2]Breakdown EU havens'!$S$67:$Y$97,H$2,0)/E106</f>
        <v>23.694182200205589</v>
      </c>
      <c r="I36" s="281">
        <f>VLOOKUP($C36,'[2]Breakdown EU havens'!$S$67:$Y$97,I$2,0)/E106</f>
        <v>61.583905409675097</v>
      </c>
      <c r="J36" s="281">
        <f>VLOOKUP($C36,'[2]Breakdown EU havens'!$S$67:$Y$97,J$2,0)/E106</f>
        <v>0</v>
      </c>
      <c r="K36" s="281">
        <f>VLOOKUP($C36,'[2]Breakdown EU havens'!$S$67:$Y$97,K$2,0)/E106</f>
        <v>31.905007773306501</v>
      </c>
      <c r="L36" s="308">
        <f t="shared" si="5"/>
        <v>20.704296748066444</v>
      </c>
      <c r="M36" s="290">
        <f>VLOOKUP($C36,'[2]Breakdown non-EU havens'!$K$59:$M$86,3,0)/E106</f>
        <v>17.527660501785121</v>
      </c>
      <c r="N36" s="295">
        <f>VLOOKUP($C36,'[2]Breakdown non-EU havens'!$K$59:$M$86,2,0)/E106</f>
        <v>3.1766362462813236</v>
      </c>
      <c r="O36" s="308">
        <f t="shared" si="2"/>
        <v>723.64637979168469</v>
      </c>
      <c r="P36" s="308">
        <f t="shared" si="6"/>
        <v>616.72948561694284</v>
      </c>
      <c r="Q36" s="281">
        <f>VLOOKUP($C36,'[2]Breakdown EU havens'!$J$67:$P$94,Q$2,0)/E106</f>
        <v>157.8455737519285</v>
      </c>
      <c r="R36" s="281">
        <f>VLOOKUP($C36,'[2]Breakdown EU havens'!$J$67:$P$94,R$2,0)/E106</f>
        <v>2.5499721458887183</v>
      </c>
      <c r="S36" s="281">
        <f>VLOOKUP($C36,'[2]Breakdown EU havens'!$J$67:$P$94,S$2,0)/E106</f>
        <v>105.45966631051937</v>
      </c>
      <c r="T36" s="281">
        <f>VLOOKUP($C36,'[2]Breakdown EU havens'!$J$67:$P$94,T$2,0)/E106</f>
        <v>201.25649166543036</v>
      </c>
      <c r="U36" s="281">
        <f>VLOOKUP($C36,'[2]Breakdown EU havens'!$J$67:$P$94,U$2,0)/E106</f>
        <v>10.82799588433323</v>
      </c>
      <c r="V36" s="281">
        <f>VLOOKUP($C36,'[2]Breakdown EU havens'!$J$67:$P$94,V$2,0)/E106</f>
        <v>138.78978585884266</v>
      </c>
      <c r="W36" s="308">
        <f t="shared" si="7"/>
        <v>106.91689417474187</v>
      </c>
      <c r="X36" s="290">
        <f>IFERROR(IFERROR(VLOOKUP(C36,'[2]Swiss pivot'!$E$3:$H$54,4,0),VLOOKUP($C36,'[2]Breakdown non-EU havens'!$F$59:$H$86,3,0)/$E$106),AJ36*'[2]Non-EU tax havens'!$I$8)</f>
        <v>79.868516870663385</v>
      </c>
      <c r="Y36" s="289">
        <f>VLOOKUP($C36,'[2]Breakdown non-EU havens'!$F$59:$H$86,2,0)/E106</f>
        <v>27.048377304078489</v>
      </c>
      <c r="Z36" s="266"/>
      <c r="AA36" s="49">
        <f>+'[2]CDIS Table-4'!O33</f>
        <v>1.6779028100662903E-3</v>
      </c>
      <c r="AB36" s="52"/>
      <c r="AC36" s="52">
        <f t="shared" si="19"/>
        <v>0</v>
      </c>
      <c r="AD36" s="52">
        <f t="shared" si="20"/>
        <v>0</v>
      </c>
      <c r="AE36" s="52">
        <f t="shared" si="21"/>
        <v>0</v>
      </c>
      <c r="AF36" s="52"/>
      <c r="AG36" s="49">
        <f t="shared" si="16"/>
        <v>1.6779028100662903E-3</v>
      </c>
      <c r="AH36" s="52"/>
      <c r="AI36" s="52"/>
      <c r="AJ36" s="52">
        <f t="shared" si="17"/>
        <v>0</v>
      </c>
      <c r="AK36" s="52"/>
      <c r="AL36" s="49">
        <f>+'[2]CDIS Table-4'!U33</f>
        <v>0</v>
      </c>
      <c r="AM36" s="52"/>
      <c r="AN36" s="52">
        <f t="shared" si="22"/>
        <v>0</v>
      </c>
      <c r="AO36" s="52">
        <f t="shared" si="23"/>
        <v>0</v>
      </c>
      <c r="AP36" s="52">
        <f t="shared" si="24"/>
        <v>0</v>
      </c>
      <c r="AQ36" s="52"/>
      <c r="AR36" s="52">
        <f t="shared" si="14"/>
        <v>0</v>
      </c>
      <c r="AS36" s="52"/>
      <c r="AT36" s="52">
        <f t="shared" si="18"/>
        <v>0</v>
      </c>
    </row>
    <row r="37" spans="2:46" ht="14" customHeight="1" x14ac:dyDescent="0.35">
      <c r="C37" s="297" t="s">
        <v>60</v>
      </c>
      <c r="D37" s="308">
        <f t="shared" si="0"/>
        <v>35.173444634127762</v>
      </c>
      <c r="E37" s="308">
        <f t="shared" si="4"/>
        <v>29.218450659244006</v>
      </c>
      <c r="F37" s="281">
        <f>VLOOKUP($C37,'[2]Breakdown EU havens'!$S$67:$Y$97,F$2,0)/E106</f>
        <v>4.9393841660188658</v>
      </c>
      <c r="G37" s="281">
        <f>VLOOKUP($C37,'[2]Breakdown EU havens'!$S$67:$Y$97,G$2,0)/E106</f>
        <v>0</v>
      </c>
      <c r="H37" s="281">
        <f>VLOOKUP($C37,'[2]Breakdown EU havens'!$S$67:$Y$97,H$2,0)/E106</f>
        <v>0.21540165636550537</v>
      </c>
      <c r="I37" s="281">
        <f>VLOOKUP($C37,'[2]Breakdown EU havens'!$S$67:$Y$97,I$2,0)/E106</f>
        <v>20.645271146862513</v>
      </c>
      <c r="J37" s="281">
        <f>VLOOKUP($C37,'[2]Breakdown EU havens'!$S$67:$Y$97,J$2,0)/E106</f>
        <v>0</v>
      </c>
      <c r="K37" s="281">
        <f>VLOOKUP($C37,'[2]Breakdown EU havens'!$S$67:$Y$97,K$2,0)/E106</f>
        <v>3.4183936899971252</v>
      </c>
      <c r="L37" s="308">
        <f t="shared" si="5"/>
        <v>5.9549939748837577</v>
      </c>
      <c r="M37" s="290">
        <f>VLOOKUP($C37,'[2]Breakdown non-EU havens'!$K$59:$M$86,3,0)/E106</f>
        <v>3.5725167901727639</v>
      </c>
      <c r="N37" s="295">
        <f>VLOOKUP($C37,'[2]Breakdown non-EU havens'!$K$59:$M$86,2,0)/E106</f>
        <v>2.3824771847109933</v>
      </c>
      <c r="O37" s="308">
        <f t="shared" si="2"/>
        <v>312.48973277423511</v>
      </c>
      <c r="P37" s="308">
        <f t="shared" si="6"/>
        <v>245.30638712867952</v>
      </c>
      <c r="Q37" s="281">
        <f>VLOOKUP($C37,'[2]Breakdown EU havens'!$J$67:$P$94,Q$2,0)/E106</f>
        <v>40.433348941380693</v>
      </c>
      <c r="R37" s="281">
        <f>VLOOKUP($C37,'[2]Breakdown EU havens'!$J$67:$P$94,R$2,0)/E106</f>
        <v>2.5499721458887183</v>
      </c>
      <c r="S37" s="281">
        <f>VLOOKUP($C37,'[2]Breakdown EU havens'!$J$67:$P$94,S$2,0)/E106</f>
        <v>98.077489668783016</v>
      </c>
      <c r="T37" s="281">
        <f>VLOOKUP($C37,'[2]Breakdown EU havens'!$J$67:$P$94,T$2,0)/E106</f>
        <v>37.012688122377995</v>
      </c>
      <c r="U37" s="281">
        <f>'[2]Breakdown EU havens'!$O$91/E106</f>
        <v>0.98436326221211179</v>
      </c>
      <c r="V37" s="281">
        <f>VLOOKUP($C37,'[2]Breakdown EU havens'!$J$67:$P$94,V$2,0)/E106</f>
        <v>66.248524988036991</v>
      </c>
      <c r="W37" s="308">
        <f t="shared" si="7"/>
        <v>67.183345645555576</v>
      </c>
      <c r="X37" s="290">
        <f>IFERROR(IFERROR(VLOOKUP(C37,'[2]Swiss pivot'!$E$3:$H$54,4,0),VLOOKUP($C37,'[2]Breakdown non-EU havens'!$F$59:$H$86,3,0)/$E$106),AJ37*'[2]Non-EU tax havens'!$I$8)</f>
        <v>35.815455616110945</v>
      </c>
      <c r="Y37" s="289">
        <f>VLOOKUP($C37,'[2]Breakdown non-EU havens'!$F$59:$H$86,2,0)/E106</f>
        <v>31.367890029444634</v>
      </c>
      <c r="Z37" s="266"/>
      <c r="AA37" s="49">
        <f>+'[2]CDIS Table-4'!O34</f>
        <v>4.7078495384529563E-4</v>
      </c>
      <c r="AB37" s="52"/>
      <c r="AC37" s="52">
        <f t="shared" si="19"/>
        <v>0</v>
      </c>
      <c r="AD37" s="52">
        <f t="shared" si="20"/>
        <v>0</v>
      </c>
      <c r="AE37" s="52">
        <f t="shared" si="21"/>
        <v>0</v>
      </c>
      <c r="AF37" s="52"/>
      <c r="AG37" s="49">
        <f t="shared" si="16"/>
        <v>4.7078495384529563E-4</v>
      </c>
      <c r="AH37" s="52"/>
      <c r="AI37" s="52"/>
      <c r="AJ37" s="52">
        <f t="shared" si="17"/>
        <v>0</v>
      </c>
      <c r="AK37" s="52"/>
      <c r="AL37" s="49">
        <f>+'[2]CDIS Table-4'!U34</f>
        <v>0</v>
      </c>
      <c r="AM37" s="52"/>
      <c r="AN37" s="52">
        <f t="shared" si="22"/>
        <v>0</v>
      </c>
      <c r="AO37" s="52">
        <f t="shared" si="23"/>
        <v>0</v>
      </c>
      <c r="AP37" s="52">
        <f t="shared" si="24"/>
        <v>0</v>
      </c>
      <c r="AQ37" s="52"/>
      <c r="AR37" s="52">
        <f t="shared" si="14"/>
        <v>0</v>
      </c>
      <c r="AS37" s="52"/>
      <c r="AT37" s="52">
        <f t="shared" si="18"/>
        <v>0</v>
      </c>
    </row>
    <row r="38" spans="2:46" ht="14" customHeight="1" x14ac:dyDescent="0.35">
      <c r="C38" s="297" t="s">
        <v>61</v>
      </c>
      <c r="D38" s="308">
        <f t="shared" si="0"/>
        <v>4278.3447248784623</v>
      </c>
      <c r="E38" s="308">
        <f t="shared" si="4"/>
        <v>3896.0649755659242</v>
      </c>
      <c r="F38" s="281">
        <f>VLOOKUP($C38,'[2]Breakdown EU havens'!$S$67:$Y$97,F$2,0)/E106</f>
        <v>250.26213107828923</v>
      </c>
      <c r="G38" s="281">
        <f>VLOOKUP($C38,'[2]Breakdown EU havens'!$S$67:$Y$97,G$2,0)/E106</f>
        <v>0.67585640002930614</v>
      </c>
      <c r="H38" s="281">
        <f>VLOOKUP($C38,'[2]Breakdown EU havens'!$S$67:$Y$97,H$2,0)/E106</f>
        <v>383.41494833059949</v>
      </c>
      <c r="I38" s="281">
        <f>VLOOKUP($C38,'[2]Breakdown EU havens'!$S$67:$Y$97,I$2,0)/E106</f>
        <v>792.02767490690735</v>
      </c>
      <c r="J38" s="281">
        <f>VLOOKUP($C38,'[2]Breakdown EU havens'!$S$67:$Y$97,J$2,0)/E106</f>
        <v>8.4409080521693838</v>
      </c>
      <c r="K38" s="281">
        <f>VLOOKUP($C38,'[2]Breakdown EU havens'!$S$67:$Y$97,K$2,0)/E106</f>
        <v>2461.2434567979299</v>
      </c>
      <c r="L38" s="308">
        <f t="shared" si="5"/>
        <v>382.27974931253846</v>
      </c>
      <c r="M38" s="290">
        <f>VLOOKUP($C38,'[2]Breakdown non-EU havens'!$K$59:$M$86,3,0)/E106</f>
        <v>353.00931532894629</v>
      </c>
      <c r="N38" s="295">
        <f>VLOOKUP($C38,'[2]Breakdown non-EU havens'!$K$59:$M$86,2,0)/E106</f>
        <v>29.270433983592199</v>
      </c>
      <c r="O38" s="308">
        <f t="shared" si="2"/>
        <v>13411.410637312354</v>
      </c>
      <c r="P38" s="308">
        <f t="shared" si="6"/>
        <v>10967.263931343548</v>
      </c>
      <c r="Q38" s="281">
        <f>VLOOKUP($C38,'[2]Breakdown EU havens'!$J$67:$P$94,Q$2,0)/E106</f>
        <v>843.65737694996255</v>
      </c>
      <c r="R38" s="281">
        <f>VLOOKUP($C38,'[2]Breakdown EU havens'!$J$67:$P$94,R$2,0)/E106</f>
        <v>14.662339838860129</v>
      </c>
      <c r="S38" s="281">
        <f>VLOOKUP($C38,'[2]Breakdown EU havens'!$J$67:$P$94,S$2,0)/E106</f>
        <v>2832.6466371005499</v>
      </c>
      <c r="T38" s="281">
        <f>VLOOKUP($C38,'[2]Breakdown EU havens'!$J$67:$P$94,T$2,0)/E106</f>
        <v>4159.3008277522276</v>
      </c>
      <c r="U38" s="281">
        <f>VLOOKUP($C38,'[2]Breakdown EU havens'!$J$67:$P$94,U$2,0)/E106</f>
        <v>225.30981335077226</v>
      </c>
      <c r="V38" s="281">
        <f>VLOOKUP($C38,'[2]Breakdown EU havens'!$J$67:$P$94,V$2,0)/E106</f>
        <v>2891.6869363511764</v>
      </c>
      <c r="W38" s="308">
        <f t="shared" si="7"/>
        <v>2444.1467059688061</v>
      </c>
      <c r="X38" s="290">
        <f>IFERROR(IFERROR(VLOOKUP(C38,'[2]Swiss pivot'!$E$3:$H$54,4,0),VLOOKUP($C38,'[2]Breakdown non-EU havens'!$F$59:$H$86,3,0)/$E$106),AJ38*'[2]Non-EU tax havens'!$I$8)</f>
        <v>894.88147513748174</v>
      </c>
      <c r="Y38" s="289">
        <f>VLOOKUP($C38,'[2]Breakdown non-EU havens'!$F$59:$H$86,2,0)/E106</f>
        <v>1549.2652308313245</v>
      </c>
      <c r="Z38" s="266"/>
      <c r="AA38" s="49">
        <f>+'[2]CDIS Table-4'!O35</f>
        <v>2.0109826911602034E-2</v>
      </c>
      <c r="AB38" s="52"/>
      <c r="AC38" s="52">
        <f t="shared" si="19"/>
        <v>0</v>
      </c>
      <c r="AD38" s="52">
        <f t="shared" si="20"/>
        <v>0</v>
      </c>
      <c r="AE38" s="52">
        <f t="shared" si="21"/>
        <v>0</v>
      </c>
      <c r="AF38" s="52"/>
      <c r="AG38" s="49">
        <f t="shared" si="16"/>
        <v>2.0109826911602034E-2</v>
      </c>
      <c r="AH38" s="52"/>
      <c r="AI38" s="52"/>
      <c r="AJ38" s="52">
        <f t="shared" si="17"/>
        <v>0</v>
      </c>
      <c r="AK38" s="52"/>
      <c r="AL38" s="49">
        <f>+'[2]CDIS Table-4'!U35</f>
        <v>0</v>
      </c>
      <c r="AM38" s="52"/>
      <c r="AN38" s="52">
        <f t="shared" si="22"/>
        <v>0</v>
      </c>
      <c r="AO38" s="52">
        <f t="shared" si="23"/>
        <v>0</v>
      </c>
      <c r="AP38" s="52">
        <f t="shared" si="24"/>
        <v>0</v>
      </c>
      <c r="AQ38" s="52"/>
      <c r="AR38" s="52">
        <f t="shared" si="14"/>
        <v>0</v>
      </c>
      <c r="AS38" s="52"/>
      <c r="AT38" s="52">
        <f t="shared" si="18"/>
        <v>0</v>
      </c>
    </row>
    <row r="39" spans="2:46" s="318" customFormat="1" ht="14" customHeight="1" x14ac:dyDescent="0.35">
      <c r="C39" s="317" t="s">
        <v>62</v>
      </c>
      <c r="D39" s="308">
        <f t="shared" si="0"/>
        <v>940.19843351891961</v>
      </c>
      <c r="E39" s="308">
        <f t="shared" si="4"/>
        <v>906.1841324168347</v>
      </c>
      <c r="F39" s="281">
        <f>VLOOKUP($C39,'[2]Breakdown EU havens'!$S$67:$Y$97,F$2,0)/E106</f>
        <v>73.541942027392011</v>
      </c>
      <c r="G39" s="281">
        <f>VLOOKUP($C39,'[2]Breakdown EU havens'!$S$67:$Y$97,G$2,0)/E106</f>
        <v>0</v>
      </c>
      <c r="H39" s="281">
        <f>VLOOKUP($C39,'[2]Breakdown EU havens'!$S$67:$Y$97,H$2,0)/E106</f>
        <v>17.986038306519696</v>
      </c>
      <c r="I39" s="281">
        <f>VLOOKUP($C39,'[2]Breakdown EU havens'!$S$67:$Y$97,I$2,0)/E106</f>
        <v>424.16647992644789</v>
      </c>
      <c r="J39" s="281">
        <f>VLOOKUP($C39,'[2]Breakdown EU havens'!$S$67:$Y$97,J$2,0)/E106</f>
        <v>1.9322560601351602</v>
      </c>
      <c r="K39" s="281">
        <f>VLOOKUP($C39,'[2]Breakdown EU havens'!$S$67:$Y$97,K$2,0)/E106</f>
        <v>388.55741609633992</v>
      </c>
      <c r="L39" s="308">
        <f t="shared" si="5"/>
        <v>34.014301102084943</v>
      </c>
      <c r="M39" s="290">
        <f>VLOOKUP($C39,'[2]Breakdown non-EU havens'!$K$59:$M$86,3,0)/E106</f>
        <v>15.294837507927145</v>
      </c>
      <c r="N39" s="295">
        <f>VLOOKUP($C39,'[2]Breakdown non-EU havens'!$K$59:$M$86,2,0)/E106</f>
        <v>18.719463594157801</v>
      </c>
      <c r="O39" s="308">
        <f t="shared" si="2"/>
        <v>9604.398133229739</v>
      </c>
      <c r="P39" s="308">
        <f t="shared" si="6"/>
        <v>8003.282210041586</v>
      </c>
      <c r="Q39" s="281">
        <f>VLOOKUP($C39,'[2]Breakdown EU havens'!$J$67:$P$94,Q$2,0)/E106</f>
        <v>877.09264626687354</v>
      </c>
      <c r="R39" s="281">
        <f>VLOOKUP($C39,'[2]Breakdown EU havens'!$J$67:$P$94,R$2,0)/E106</f>
        <v>81.599108668438987</v>
      </c>
      <c r="S39" s="281">
        <f>VLOOKUP($C39,'[2]Breakdown EU havens'!$J$67:$P$94,S$2,0)/E106</f>
        <v>3197.5370825349469</v>
      </c>
      <c r="T39" s="281">
        <f>VLOOKUP($C39,'[2]Breakdown EU havens'!$J$67:$P$94,T$2,0)/E106</f>
        <v>1998.6851586084117</v>
      </c>
      <c r="U39" s="281">
        <f>VLOOKUP($C39,'[2]Breakdown EU havens'!$J$67:$P$94,U$2,0)/E106</f>
        <v>217.76302834047939</v>
      </c>
      <c r="V39" s="281">
        <f>VLOOKUP($C39,'[2]Breakdown EU havens'!$J$67:$P$94,V$2,0)/E106</f>
        <v>1630.6051856224356</v>
      </c>
      <c r="W39" s="308">
        <f t="shared" si="7"/>
        <v>1601.1159231881529</v>
      </c>
      <c r="X39" s="290">
        <f>IFERROR(IFERROR(VLOOKUP(C39,'[2]Swiss pivot'!$E$3:$H$54,4,0),VLOOKUP($C39,'[2]Breakdown non-EU havens'!$F$59:$H$86,3,0)/$E$106),AJ39*'[2]Non-EU tax havens'!$I$8)</f>
        <v>386.92146519594525</v>
      </c>
      <c r="Y39" s="289">
        <f>VLOOKUP($C39,'[2]Breakdown non-EU havens'!$F$59:$H$86,2,0)/E106</f>
        <v>1214.1944579922076</v>
      </c>
      <c r="Z39" s="341"/>
      <c r="AA39" s="49">
        <f>+'[2]CDIS Table-4'!O36</f>
        <v>1.0367762926519983E-2</v>
      </c>
      <c r="AB39" s="319"/>
      <c r="AC39" s="52">
        <f t="shared" si="19"/>
        <v>0</v>
      </c>
      <c r="AD39" s="52">
        <f t="shared" si="20"/>
        <v>0</v>
      </c>
      <c r="AE39" s="52">
        <f t="shared" si="21"/>
        <v>0</v>
      </c>
      <c r="AF39" s="319"/>
      <c r="AG39" s="49">
        <f t="shared" si="16"/>
        <v>1.0367762926519983E-2</v>
      </c>
      <c r="AH39" s="319"/>
      <c r="AI39" s="52"/>
      <c r="AJ39" s="52">
        <f t="shared" si="17"/>
        <v>0</v>
      </c>
      <c r="AK39" s="52"/>
      <c r="AL39" s="49">
        <f>+'[2]CDIS Table-4'!U36</f>
        <v>0</v>
      </c>
      <c r="AM39" s="319"/>
      <c r="AN39" s="52">
        <f t="shared" si="22"/>
        <v>0</v>
      </c>
      <c r="AO39" s="52">
        <f t="shared" si="23"/>
        <v>0</v>
      </c>
      <c r="AP39" s="52">
        <f t="shared" si="24"/>
        <v>0</v>
      </c>
      <c r="AQ39" s="319"/>
      <c r="AR39" s="52">
        <f t="shared" si="14"/>
        <v>0</v>
      </c>
      <c r="AS39" s="319"/>
      <c r="AT39" s="52">
        <f t="shared" si="18"/>
        <v>0</v>
      </c>
    </row>
    <row r="40" spans="2:46" ht="14" customHeight="1" x14ac:dyDescent="0.35">
      <c r="C40" s="317" t="s">
        <v>63</v>
      </c>
      <c r="D40" s="314"/>
      <c r="E40" s="314">
        <f t="shared" si="4"/>
        <v>4001.1235332421229</v>
      </c>
      <c r="F40" s="315">
        <f>HLOOKUP($C40,'[2]Interest shifted to EU'!$L$12:$AT$18,F$2,0)/E106</f>
        <v>231.09440370877701</v>
      </c>
      <c r="G40" s="315">
        <f>HLOOKUP($C40,'[2]Interest shifted to EU'!$L$12:$AT$18,G$2,0)/E106</f>
        <v>7.3556373859484685</v>
      </c>
      <c r="H40" s="315">
        <f>HLOOKUP($C40,'[2]Interest shifted to EU'!$L$12:$AT$18,H$2,0)/E106</f>
        <v>222.45311315113111</v>
      </c>
      <c r="I40" s="315">
        <f>HLOOKUP($C40,'[2]Interest shifted to EU'!$L$12:$AT$18,I$2,0)/E106</f>
        <v>703.39962846481058</v>
      </c>
      <c r="J40" s="315">
        <f>HLOOKUP($C40,'[2]Interest shifted to EU'!$L$12:$AT$18,J$2,0)/E106</f>
        <v>924.43358572840975</v>
      </c>
      <c r="K40" s="315">
        <f>HLOOKUP($C40,'[2]Interest shifted to EU'!$L$12:$AT$18,K$2,0)/E106</f>
        <v>1912.3871648030463</v>
      </c>
      <c r="L40" s="314"/>
      <c r="M40" s="313"/>
      <c r="N40" s="316"/>
      <c r="O40" s="314"/>
      <c r="P40" s="314">
        <f t="shared" si="6"/>
        <v>13840.688623570577</v>
      </c>
      <c r="Q40" s="315">
        <f>HLOOKUP($C40,'[2]Non EU income shifted to EU'!$A$2:$AI$18,Q$2+10,0)/E106</f>
        <v>1566.8284874526648</v>
      </c>
      <c r="R40" s="315">
        <f>HLOOKUP($C40,'[2]Non EU income shifted to EU'!$A$2:$AI$18,R$2+10,0)/E106</f>
        <v>6.3506093294262218</v>
      </c>
      <c r="S40" s="315">
        <f>HLOOKUP($C40,'[2]Non EU income shifted to EU'!$A$2:$AI$18,S$2+10,0)/E106</f>
        <v>2882.7415990758054</v>
      </c>
      <c r="T40" s="315">
        <f>HLOOKUP($C40,'[2]Non EU income shifted to EU'!$A$2:$AI$18,T$2+10,0)/E106</f>
        <v>6454.2596200027483</v>
      </c>
      <c r="U40" s="315">
        <f>HLOOKUP($C40,'[2]Non EU income shifted to EU'!$A$2:$AI$18,U$2+10,0)/E106</f>
        <v>59.530555976838379</v>
      </c>
      <c r="V40" s="315">
        <f>HLOOKUP($C40,'[2]Non EU income shifted to EU'!$A$2:$AI$18,V$2+10,0)/E106</f>
        <v>2870.9777517330926</v>
      </c>
      <c r="W40" s="314"/>
      <c r="X40" s="290">
        <f>IFERROR(IFERROR(VLOOKUP(C40,'[2]Swiss pivot'!$E$3:$H$54,4,0),VLOOKUP($C40,'[2]Breakdown non-EU havens'!$F$59:$H$86,3,0)/$E$106),AJ40*'[2]Non-EU tax havens'!$I$8)</f>
        <v>0</v>
      </c>
      <c r="Y40" s="312"/>
      <c r="Z40" s="266"/>
      <c r="AA40" s="49">
        <f>+'[2]CDIS Table-4'!O37</f>
        <v>4.0242172386703134E-2</v>
      </c>
      <c r="AB40" s="52">
        <v>0</v>
      </c>
      <c r="AC40" s="52">
        <f t="shared" si="19"/>
        <v>0</v>
      </c>
      <c r="AD40" s="52">
        <f t="shared" si="20"/>
        <v>0</v>
      </c>
      <c r="AE40" s="52">
        <f t="shared" si="21"/>
        <v>0</v>
      </c>
      <c r="AF40" s="52"/>
      <c r="AG40" s="49">
        <f t="shared" si="16"/>
        <v>4.0242172386703134E-2</v>
      </c>
      <c r="AH40" s="52">
        <v>0</v>
      </c>
      <c r="AI40" s="52"/>
      <c r="AJ40" s="52">
        <f t="shared" si="17"/>
        <v>0</v>
      </c>
      <c r="AK40" s="52"/>
      <c r="AL40" s="49">
        <f>+'[2]CDIS Table-4'!U37</f>
        <v>0</v>
      </c>
      <c r="AM40" s="52">
        <v>0</v>
      </c>
      <c r="AN40" s="52">
        <f t="shared" si="22"/>
        <v>0</v>
      </c>
      <c r="AO40" s="52">
        <f t="shared" si="23"/>
        <v>0</v>
      </c>
      <c r="AP40" s="52">
        <f t="shared" si="24"/>
        <v>0</v>
      </c>
      <c r="AQ40" s="52"/>
      <c r="AR40" s="52">
        <f t="shared" si="14"/>
        <v>0</v>
      </c>
      <c r="AS40" s="52"/>
      <c r="AT40" s="52">
        <f t="shared" si="18"/>
        <v>0</v>
      </c>
    </row>
    <row r="41" spans="2:46" ht="14" customHeight="1" x14ac:dyDescent="0.35">
      <c r="C41" s="297" t="s">
        <v>64</v>
      </c>
      <c r="D41" s="308">
        <f t="shared" ref="D41:D51" si="25">+E41+L41</f>
        <v>508.66650040208145</v>
      </c>
      <c r="E41" s="308">
        <f t="shared" si="4"/>
        <v>264.1326151377101</v>
      </c>
      <c r="F41" s="281">
        <f>HLOOKUP($C41,'[2]Interest shifted to EU'!$L$12:$AT$18,F$2,0)/E106</f>
        <v>41.665017185433634</v>
      </c>
      <c r="G41" s="281">
        <f>HLOOKUP($C41,'[2]Interest shifted to EU'!$L$12:$AT$18,G$2,0)/E106</f>
        <v>0</v>
      </c>
      <c r="H41" s="281">
        <f>HLOOKUP($C41,'[2]Interest shifted to EU'!$L$12:$AT$18,H$2,0)/E106</f>
        <v>0</v>
      </c>
      <c r="I41" s="281">
        <f>HLOOKUP($C41,'[2]Interest shifted to EU'!$L$12:$AT$18,I$2,0)/E106</f>
        <v>29.758331227113022</v>
      </c>
      <c r="J41" s="281">
        <f>HLOOKUP($C41,'[2]Interest shifted to EU'!$L$12:$AT$18,J$2,0)/E106</f>
        <v>7.1371280508078705</v>
      </c>
      <c r="K41" s="281">
        <f>HLOOKUP($C41,'[2]Interest shifted to EU'!$L$12:$AT$18,K$2,0)/E106</f>
        <v>185.57213867435556</v>
      </c>
      <c r="L41" s="308">
        <f>SUM(M41:N41)</f>
        <v>244.53388526437135</v>
      </c>
      <c r="M41" s="290">
        <f>AC41*'[2]Non-EU tax havens'!$M$8</f>
        <v>31.0345525291538</v>
      </c>
      <c r="N41" s="295">
        <f>AC41*'[2]Non-EU tax havens'!$M$13</f>
        <v>213.49933273521756</v>
      </c>
      <c r="O41" s="308">
        <f t="shared" ref="O41:O51" si="26">+P41+W41</f>
        <v>4300.8622970076649</v>
      </c>
      <c r="P41" s="308">
        <f t="shared" si="6"/>
        <v>1203.3137927000489</v>
      </c>
      <c r="Q41" s="281">
        <f>HLOOKUP($C41,'[2]Non EU income shifted to EU'!$A$2:$AI$18,Q$2+10,0)/E106</f>
        <v>172.20704675206531</v>
      </c>
      <c r="R41" s="281">
        <f>HLOOKUP($C41,'[2]Non EU income shifted to EU'!$A$2:$AI$18,R$2+10,0)/E106</f>
        <v>1.7237368179871171</v>
      </c>
      <c r="S41" s="281">
        <f>HLOOKUP($C41,'[2]Non EU income shifted to EU'!$A$2:$AI$18,S$2+10,0)/E106</f>
        <v>548.28468997928098</v>
      </c>
      <c r="T41" s="281">
        <f>HLOOKUP($C41,'[2]Non EU income shifted to EU'!$A$2:$AI$18,T$2+10,0)/E106</f>
        <v>160.88636799618374</v>
      </c>
      <c r="U41" s="281">
        <f>HLOOKUP($C41,'[2]Non EU income shifted to EU'!$A$2:$AI$18,U$2+10,0)/E106</f>
        <v>24.813178641673346</v>
      </c>
      <c r="V41" s="281">
        <f>HLOOKUP($C41,'[2]Non EU income shifted to EU'!$A$2:$AI$18,V$2+10,0)/E106</f>
        <v>295.39877251285833</v>
      </c>
      <c r="W41" s="308">
        <f>SUM(X41:Y41)</f>
        <v>3097.548504307616</v>
      </c>
      <c r="X41" s="290">
        <f>IFERROR(IFERROR(VLOOKUP(C41,'[2]Swiss pivot'!$E$3:$H$54,4,0),VLOOKUP($C41,'[2]Breakdown non-EU havens'!$F$59:$H$86,3,0)/$E$106),AJ41*'[2]Non-EU tax havens'!$I$8)</f>
        <v>303.41519850852058</v>
      </c>
      <c r="Y41" s="289">
        <f>AE41*'[2]Non-EU tax havens'!$O$13</f>
        <v>2794.1333057990955</v>
      </c>
      <c r="Z41" s="266"/>
      <c r="AA41" s="49">
        <f>+'[2]CDIS Table-4'!O38</f>
        <v>3.2883376727278189E-3</v>
      </c>
      <c r="AB41" s="52">
        <f>+AA41</f>
        <v>3.2883376727278189E-3</v>
      </c>
      <c r="AC41" s="52">
        <f t="shared" si="19"/>
        <v>7.4751255987954334E-3</v>
      </c>
      <c r="AD41" s="52">
        <f t="shared" si="20"/>
        <v>3.2883376727278189E-3</v>
      </c>
      <c r="AE41" s="52">
        <f t="shared" si="21"/>
        <v>9.8710132247846107E-3</v>
      </c>
      <c r="AF41" s="52"/>
      <c r="AG41" s="49">
        <f t="shared" si="16"/>
        <v>3.2883376727278189E-3</v>
      </c>
      <c r="AH41" s="52">
        <f>+AG41</f>
        <v>3.2883376727278189E-3</v>
      </c>
      <c r="AI41" s="52"/>
      <c r="AJ41" s="52">
        <f t="shared" si="17"/>
        <v>0</v>
      </c>
      <c r="AK41" s="52"/>
      <c r="AL41" s="49">
        <f>+'[2]CDIS Table-4'!U38</f>
        <v>0</v>
      </c>
      <c r="AM41" s="52">
        <f>+AL41</f>
        <v>0</v>
      </c>
      <c r="AN41" s="52">
        <f t="shared" si="22"/>
        <v>0</v>
      </c>
      <c r="AO41" s="52">
        <f t="shared" si="23"/>
        <v>0</v>
      </c>
      <c r="AP41" s="52">
        <f t="shared" si="24"/>
        <v>0</v>
      </c>
      <c r="AQ41" s="52"/>
      <c r="AR41" s="52">
        <f t="shared" ref="AR41:AR72" si="27">+AQ41/$AQ$99</f>
        <v>0</v>
      </c>
      <c r="AS41" s="52"/>
      <c r="AT41" s="52">
        <f t="shared" si="18"/>
        <v>0</v>
      </c>
    </row>
    <row r="42" spans="2:46" ht="14" customHeight="1" x14ac:dyDescent="0.35">
      <c r="C42" s="297" t="s">
        <v>65</v>
      </c>
      <c r="D42" s="308">
        <f t="shared" si="25"/>
        <v>11083.899814778229</v>
      </c>
      <c r="E42" s="308">
        <f t="shared" si="4"/>
        <v>10127.326300247731</v>
      </c>
      <c r="F42" s="281">
        <f>VLOOKUP($C42,'[2]Breakdown EU havens'!$S$67:$Y$97,F$2,0)/E106</f>
        <v>2703.4896002009928</v>
      </c>
      <c r="G42" s="281">
        <f>VLOOKUP($C42,'[2]Breakdown EU havens'!$S$67:$Y$97,G$2,0)/E106</f>
        <v>2.0838905667570273</v>
      </c>
      <c r="H42" s="281">
        <f>VLOOKUP($C42,'[2]Breakdown EU havens'!$S$67:$Y$97,H$2,0)/E106</f>
        <v>656.97505191479127</v>
      </c>
      <c r="I42" s="281">
        <f>VLOOKUP($C42,'[2]Breakdown EU havens'!$S$67:$Y$97,I$2,0)/E106</f>
        <v>2806.3492438496519</v>
      </c>
      <c r="J42" s="281">
        <f>VLOOKUP($C42,'[2]Breakdown EU havens'!$S$67:$Y$97,J$2,0)/E106</f>
        <v>26.136305655512437</v>
      </c>
      <c r="K42" s="281">
        <f>VLOOKUP($C42,'[2]Breakdown EU havens'!$S$67:$Y$97,K$2,0)/E106</f>
        <v>3932.292208060026</v>
      </c>
      <c r="L42" s="308">
        <f>SUM(M42:N42)</f>
        <v>956.57351453049921</v>
      </c>
      <c r="M42" s="290">
        <f>VLOOKUP($C42,'[2]Breakdown non-EU havens'!$K$59:$M$86,3,0)/E106</f>
        <v>485.75064231380298</v>
      </c>
      <c r="N42" s="295">
        <f>VLOOKUP($C42,'[2]Breakdown non-EU havens'!$K$59:$M$86,2,0)/E106</f>
        <v>470.82287221669623</v>
      </c>
      <c r="O42" s="308">
        <f t="shared" si="26"/>
        <v>80872.059355674559</v>
      </c>
      <c r="P42" s="308">
        <f t="shared" si="6"/>
        <v>59679.291591973706</v>
      </c>
      <c r="Q42" s="281">
        <f>VLOOKUP($C42,'[2]Breakdown EU havens'!$J$67:$P$94,Q$2,0)/E106</f>
        <v>4589.9626692494276</v>
      </c>
      <c r="R42" s="281">
        <f>VLOOKUP($C42,'[2]Breakdown EU havens'!$J$67:$P$94,R$2,0)/E106</f>
        <v>210.81894716134977</v>
      </c>
      <c r="S42" s="281">
        <f>VLOOKUP($C42,'[2]Breakdown EU havens'!$J$67:$P$94,S$2,0)/E106</f>
        <v>22530.403110579358</v>
      </c>
      <c r="T42" s="281">
        <f>VLOOKUP($C42,'[2]Breakdown EU havens'!$J$67:$P$94,T$2,0)/E106</f>
        <v>15568.924600076774</v>
      </c>
      <c r="U42" s="281">
        <f>VLOOKUP($C42,'[2]Breakdown EU havens'!$J$67:$P$94,U$2,0)/E106</f>
        <v>991.58192613500069</v>
      </c>
      <c r="V42" s="281">
        <f>VLOOKUP($C42,'[2]Breakdown EU havens'!$J$67:$P$94,V$2,0)/E106</f>
        <v>15787.600338771803</v>
      </c>
      <c r="W42" s="308">
        <f>SUM(X42:Y42)</f>
        <v>21192.767763700853</v>
      </c>
      <c r="X42" s="290">
        <f>IFERROR(IFERROR(VLOOKUP(C42,'[2]Swiss pivot'!$E$3:$H$54,4,0),VLOOKUP($C42,'[2]Breakdown non-EU havens'!$F$59:$H$86,3,0)/$E$106),AJ42*'[2]Non-EU tax havens'!$I$8)</f>
        <v>5090.5499334055812</v>
      </c>
      <c r="Y42" s="289">
        <f>VLOOKUP($C42,'[2]Breakdown non-EU havens'!$F$59:$H$86,2,0)/E106</f>
        <v>16102.217830295273</v>
      </c>
      <c r="Z42" s="266"/>
      <c r="AA42" s="49">
        <f>+'[2]CDIS Table-4'!O39</f>
        <v>4.5338525604610186E-2</v>
      </c>
      <c r="AB42" s="52"/>
      <c r="AC42" s="52">
        <f t="shared" si="19"/>
        <v>0</v>
      </c>
      <c r="AD42" s="52">
        <f t="shared" si="20"/>
        <v>0</v>
      </c>
      <c r="AE42" s="52">
        <f t="shared" si="21"/>
        <v>0</v>
      </c>
      <c r="AF42" s="52"/>
      <c r="AG42" s="49">
        <f t="shared" si="16"/>
        <v>4.5338525604610186E-2</v>
      </c>
      <c r="AH42" s="52"/>
      <c r="AI42" s="52"/>
      <c r="AJ42" s="52">
        <f t="shared" si="17"/>
        <v>0</v>
      </c>
      <c r="AK42" s="52"/>
      <c r="AL42" s="49">
        <f>+'[2]CDIS Table-4'!U39</f>
        <v>0</v>
      </c>
      <c r="AM42" s="52"/>
      <c r="AN42" s="52">
        <f t="shared" si="22"/>
        <v>0</v>
      </c>
      <c r="AO42" s="52">
        <f t="shared" si="23"/>
        <v>0</v>
      </c>
      <c r="AP42" s="52">
        <f t="shared" si="24"/>
        <v>0</v>
      </c>
      <c r="AQ42" s="52"/>
      <c r="AR42" s="52">
        <f t="shared" si="27"/>
        <v>0</v>
      </c>
      <c r="AS42" s="52"/>
      <c r="AT42" s="52">
        <f t="shared" si="18"/>
        <v>0</v>
      </c>
    </row>
    <row r="43" spans="2:46" ht="14" customHeight="1" x14ac:dyDescent="0.35">
      <c r="C43" s="297" t="s">
        <v>66</v>
      </c>
      <c r="D43" s="308">
        <f t="shared" si="25"/>
        <v>14363.104817186844</v>
      </c>
      <c r="E43" s="308">
        <f t="shared" si="4"/>
        <v>6423.0177488428872</v>
      </c>
      <c r="F43" s="281">
        <f>HLOOKUP($C43,'[2]Interest shifted to EU'!$L$12:$AT$18,F$2,0)/E106</f>
        <v>-3.8736183777840787</v>
      </c>
      <c r="G43" s="281">
        <f>HLOOKUP($C43,'[2]Interest shifted to EU'!$L$12:$AT$18,G$2,0)/E106</f>
        <v>-0.22986366831088967</v>
      </c>
      <c r="H43" s="281">
        <f>HLOOKUP($C43,'[2]Interest shifted to EU'!$L$12:$AT$18,H$2,0)/E106</f>
        <v>-6.4606844743562837</v>
      </c>
      <c r="I43" s="281">
        <f>HLOOKUP($C43,'[2]Interest shifted to EU'!$L$12:$AT$18,I$2,0)/E106</f>
        <v>-20.22187759062507</v>
      </c>
      <c r="J43" s="281">
        <f>HLOOKUP($C43,'[2]Interest shifted to EU'!$L$12:$AT$18,J$2,0)/E106</f>
        <v>-0.351006297580715</v>
      </c>
      <c r="K43" s="281">
        <f>HLOOKUP($C43,'[2]Interest shifted to EU'!$L$12:$AT$18,K$2,0)/E106</f>
        <v>6454.1547992515443</v>
      </c>
      <c r="L43" s="308">
        <f>SUM(M43:N43)</f>
        <v>7940.0870683439571</v>
      </c>
      <c r="M43" s="290">
        <f>AC43*'[2]Non-EU tax havens'!$M$8</f>
        <v>1007.7010347345852</v>
      </c>
      <c r="N43" s="295">
        <f>AC43*'[2]Non-EU tax havens'!$M$13</f>
        <v>6932.3860336093721</v>
      </c>
      <c r="O43" s="308">
        <f t="shared" si="26"/>
        <v>124299.1951371562</v>
      </c>
      <c r="P43" s="308">
        <f t="shared" si="6"/>
        <v>32707.111104826494</v>
      </c>
      <c r="Q43" s="281">
        <f>HLOOKUP($C43,'[2]Non EU income shifted to EU'!$A$2:$AI$18,Q$2+10,0)/E106</f>
        <v>3815.0948999881984</v>
      </c>
      <c r="R43" s="281">
        <f>HLOOKUP($C43,'[2]Non EU income shifted to EU'!$A$2:$AI$18,R$2+10,0)/E106</f>
        <v>299.11369941597502</v>
      </c>
      <c r="S43" s="281">
        <f>HLOOKUP($C43,'[2]Non EU income shifted to EU'!$A$2:$AI$18,S$2+10,0)/E106</f>
        <v>16514.368837989423</v>
      </c>
      <c r="T43" s="281">
        <f>HLOOKUP($C43,'[2]Non EU income shifted to EU'!$A$2:$AI$18,T$2+10,0)/E106</f>
        <v>4862.1114068457091</v>
      </c>
      <c r="U43" s="281">
        <f>HLOOKUP($C43,'[2]Non EU income shifted to EU'!$A$2:$AI$18,U$2+10,0)/E106</f>
        <v>31.714508582351069</v>
      </c>
      <c r="V43" s="281">
        <f>HLOOKUP($C43,'[2]Non EU income shifted to EU'!$A$2:$AI$18,V$2+10,0)/E106</f>
        <v>7184.7077520048379</v>
      </c>
      <c r="W43" s="308">
        <f>SUM(X43:Y43)</f>
        <v>91592.084032329702</v>
      </c>
      <c r="X43" s="290">
        <f>+'[2]Swiss pivot'!$H$53</f>
        <v>9083.7372418972136</v>
      </c>
      <c r="Y43" s="289">
        <f>+TableC1!Y43*(1-'[2]Non-EU tax havens'!$Q$13/'[2]Non-EU tax havens'!$R$13)</f>
        <v>82508.346790432493</v>
      </c>
      <c r="Z43" s="266"/>
      <c r="AA43" s="49">
        <f>+'[2]CDIS Table-4'!O40</f>
        <v>0.1067732899403558</v>
      </c>
      <c r="AB43" s="52">
        <f>+AA43</f>
        <v>0.1067732899403558</v>
      </c>
      <c r="AC43" s="52">
        <f t="shared" si="19"/>
        <v>0.24271952346021253</v>
      </c>
      <c r="AD43" s="52"/>
      <c r="AE43" s="52">
        <f t="shared" si="21"/>
        <v>0</v>
      </c>
      <c r="AF43" s="52"/>
      <c r="AG43" s="49">
        <f t="shared" si="16"/>
        <v>0.1067732899403558</v>
      </c>
      <c r="AH43" s="52">
        <f>+AG43</f>
        <v>0.1067732899403558</v>
      </c>
      <c r="AI43" s="52"/>
      <c r="AJ43" s="52">
        <f t="shared" ref="AJ43:AJ74" si="28">+AI43/$AI$104</f>
        <v>0</v>
      </c>
      <c r="AK43" s="52"/>
      <c r="AL43" s="49">
        <f>+'[2]CDIS Table-4'!U40</f>
        <v>0</v>
      </c>
      <c r="AM43" s="52">
        <f>+AL43</f>
        <v>0</v>
      </c>
      <c r="AN43" s="52">
        <f t="shared" si="22"/>
        <v>0</v>
      </c>
      <c r="AO43" s="52"/>
      <c r="AP43" s="52">
        <f t="shared" si="24"/>
        <v>0</v>
      </c>
      <c r="AQ43" s="52"/>
      <c r="AR43" s="52">
        <f t="shared" si="27"/>
        <v>0</v>
      </c>
      <c r="AS43" s="52"/>
      <c r="AT43" s="52">
        <f t="shared" si="18"/>
        <v>0</v>
      </c>
    </row>
    <row r="44" spans="2:46" ht="40" customHeight="1" x14ac:dyDescent="0.35">
      <c r="C44" s="307" t="s">
        <v>67</v>
      </c>
      <c r="D44" s="304">
        <f t="shared" si="25"/>
        <v>15456.607171261632</v>
      </c>
      <c r="E44" s="304">
        <f t="shared" ref="E44:N44" si="29">+SUM(E45:E51)</f>
        <v>6107.0535225148124</v>
      </c>
      <c r="F44" s="269">
        <f t="shared" si="29"/>
        <v>836.00411294002697</v>
      </c>
      <c r="G44" s="269">
        <f t="shared" si="29"/>
        <v>175.27652716661646</v>
      </c>
      <c r="H44" s="269">
        <f t="shared" si="29"/>
        <v>-60.211171322308431</v>
      </c>
      <c r="I44" s="269">
        <f t="shared" si="29"/>
        <v>575.57404014398992</v>
      </c>
      <c r="J44" s="269">
        <f t="shared" si="29"/>
        <v>1904.0581835939788</v>
      </c>
      <c r="K44" s="269">
        <f t="shared" si="29"/>
        <v>2676.3518299925076</v>
      </c>
      <c r="L44" s="304">
        <f t="shared" si="29"/>
        <v>9349.5536487468198</v>
      </c>
      <c r="M44" s="269">
        <f t="shared" si="29"/>
        <v>1186.5808025847898</v>
      </c>
      <c r="N44" s="274">
        <f t="shared" si="29"/>
        <v>8162.972846162028</v>
      </c>
      <c r="O44" s="304">
        <f t="shared" si="26"/>
        <v>128020.95167349526</v>
      </c>
      <c r="P44" s="304">
        <f t="shared" ref="P44:Y44" si="30">+SUM(P45:P51)</f>
        <v>17295.64058121754</v>
      </c>
      <c r="Q44" s="281">
        <f t="shared" si="30"/>
        <v>543.13240541557968</v>
      </c>
      <c r="R44" s="281">
        <f t="shared" si="30"/>
        <v>526.12860397425618</v>
      </c>
      <c r="S44" s="281">
        <f t="shared" si="30"/>
        <v>10949.959412966493</v>
      </c>
      <c r="T44" s="281">
        <f t="shared" si="30"/>
        <v>1230.8324731721038</v>
      </c>
      <c r="U44" s="281">
        <f t="shared" si="30"/>
        <v>4.8564647987829535</v>
      </c>
      <c r="V44" s="281">
        <f t="shared" si="30"/>
        <v>4040.7312208903263</v>
      </c>
      <c r="W44" s="304">
        <f t="shared" si="30"/>
        <v>110725.31109227773</v>
      </c>
      <c r="X44" s="269">
        <f t="shared" si="30"/>
        <v>3893.9031829985074</v>
      </c>
      <c r="Y44" s="267">
        <f t="shared" si="30"/>
        <v>106831.40790927924</v>
      </c>
      <c r="Z44" s="266"/>
      <c r="AA44" s="49"/>
      <c r="AB44" s="52"/>
      <c r="AC44" s="52">
        <f t="shared" si="19"/>
        <v>0</v>
      </c>
      <c r="AD44" s="52"/>
      <c r="AE44" s="52">
        <f t="shared" si="21"/>
        <v>0</v>
      </c>
      <c r="AF44" s="52"/>
      <c r="AG44" s="49"/>
      <c r="AH44" s="52"/>
      <c r="AI44" s="52"/>
      <c r="AJ44" s="52">
        <f t="shared" si="28"/>
        <v>0</v>
      </c>
      <c r="AK44" s="52"/>
      <c r="AL44" s="49"/>
      <c r="AM44" s="52"/>
      <c r="AN44" s="52">
        <f t="shared" si="22"/>
        <v>0</v>
      </c>
      <c r="AO44" s="52"/>
      <c r="AP44" s="52">
        <f t="shared" si="24"/>
        <v>0</v>
      </c>
      <c r="AQ44" s="52"/>
      <c r="AR44" s="52">
        <f t="shared" si="27"/>
        <v>0</v>
      </c>
      <c r="AS44" s="52"/>
      <c r="AT44" s="52">
        <f t="shared" si="18"/>
        <v>0</v>
      </c>
    </row>
    <row r="45" spans="2:46" x14ac:dyDescent="0.35">
      <c r="C45" s="311" t="s">
        <v>68</v>
      </c>
      <c r="D45" s="308">
        <f t="shared" si="25"/>
        <v>4721.8223154628804</v>
      </c>
      <c r="E45" s="308">
        <f t="shared" ref="E45:E51" si="31">SUM(F45:K45)</f>
        <v>3390.1233033361445</v>
      </c>
      <c r="F45" s="281">
        <f>HLOOKUP($C45,'[2]Interest shifted to EU'!$L$12:$AT$18,F$2,0)/E106</f>
        <v>429.02685496384163</v>
      </c>
      <c r="G45" s="281">
        <f>HLOOKUP($C45,'[2]Interest shifted to EU'!$L$12:$AT$18,G$2,0)/E106</f>
        <v>0</v>
      </c>
      <c r="H45" s="281">
        <f>HLOOKUP($C45,'[2]Interest shifted to EU'!$L$12:$AT$18,H$2,0)/E106</f>
        <v>0</v>
      </c>
      <c r="I45" s="281">
        <f>HLOOKUP($C45,'[2]Interest shifted to EU'!$L$12:$AT$18,I$2,0)/E106</f>
        <v>377.66654341127611</v>
      </c>
      <c r="J45" s="281">
        <f>HLOOKUP($C45,'[2]Interest shifted to EU'!$L$12:$AT$18,J$2,0)/E106</f>
        <v>916.59444508244042</v>
      </c>
      <c r="K45" s="281">
        <f>HLOOKUP($C45,'[2]Interest shifted to EU'!$L$12:$AT$18,K$2,0)/E106</f>
        <v>1666.8354598785863</v>
      </c>
      <c r="L45" s="308">
        <f t="shared" ref="L45:L51" si="32">SUM(M45:N45)</f>
        <v>1331.6990121267359</v>
      </c>
      <c r="M45" s="290">
        <f>AC45*'[2]Non-EU tax havens'!$M$8</f>
        <v>169.01004496856535</v>
      </c>
      <c r="N45" s="295">
        <f>AC45*'[2]Non-EU tax havens'!$M$13</f>
        <v>1162.6889671581705</v>
      </c>
      <c r="O45" s="308">
        <f t="shared" si="26"/>
        <v>17775.382655053807</v>
      </c>
      <c r="P45" s="308">
        <f t="shared" ref="P45:P51" si="33">SUM(Q45:V45)</f>
        <v>2329.4436230967367</v>
      </c>
      <c r="Q45" s="281">
        <f>HLOOKUP($C45,'[2]Non EU income shifted to EU'!$A$2:$AI$18,Q$2+10,0)/E106</f>
        <v>70.184248473851198</v>
      </c>
      <c r="R45" s="281">
        <f>HLOOKUP($C45,'[2]Non EU income shifted to EU'!$A$2:$AI$18,R$2+10,0)/E106</f>
        <v>0.54433794252224754</v>
      </c>
      <c r="S45" s="281">
        <f>HLOOKUP($C45,'[2]Non EU income shifted to EU'!$A$2:$AI$18,S$2+10,0)/E106</f>
        <v>1233.7467268704968</v>
      </c>
      <c r="T45" s="281">
        <f>HLOOKUP($C45,'[2]Non EU income shifted to EU'!$A$2:$AI$18,T$2+10,0)/E106</f>
        <v>160.88636799618374</v>
      </c>
      <c r="U45" s="281">
        <f>HLOOKUP($C45,'[2]Non EU income shifted to EU'!$A$2:$AI$18,U$2+10,0)/E106</f>
        <v>0</v>
      </c>
      <c r="V45" s="281">
        <f>HLOOKUP($C45,'[2]Non EU income shifted to EU'!$A$2:$AI$18,V$2+10,0)/E106</f>
        <v>864.08194181368265</v>
      </c>
      <c r="W45" s="308">
        <f t="shared" ref="W45:W51" si="34">SUM(X45:Y45)</f>
        <v>15445.939031957072</v>
      </c>
      <c r="X45" s="290">
        <f>IFERROR(IFERROR(VLOOKUP(C45,'[2]Swiss pivot'!$E$3:$H$54,4,0),VLOOKUP($C45,'[2]Breakdown non-EU havens'!$F$59:$H$86,3,0)/$E$106),AJ45*'[2]Non-EU tax havens'!$I$8)</f>
        <v>229.46071419646847</v>
      </c>
      <c r="Y45" s="289">
        <f>AE45*'[2]Non-EU tax havens'!$O$13</f>
        <v>15216.478317760604</v>
      </c>
      <c r="Z45" s="266"/>
      <c r="AA45" s="49">
        <f>+'[2]CDIS Table-4'!O42</f>
        <v>1.7907849562756685E-2</v>
      </c>
      <c r="AB45" s="52">
        <f t="shared" ref="AB45:AB51" si="35">+AA45</f>
        <v>1.7907849562756685E-2</v>
      </c>
      <c r="AC45" s="52">
        <f t="shared" si="19"/>
        <v>4.070853969656181E-2</v>
      </c>
      <c r="AD45" s="52">
        <f t="shared" ref="AD45:AD51" si="36">+AB45</f>
        <v>1.7907849562756685E-2</v>
      </c>
      <c r="AE45" s="52">
        <f t="shared" si="21"/>
        <v>5.375622501529391E-2</v>
      </c>
      <c r="AF45" s="52"/>
      <c r="AG45" s="49">
        <f>+AA45</f>
        <v>1.7907849562756685E-2</v>
      </c>
      <c r="AH45" s="52">
        <f t="shared" ref="AH45:AH88" si="37">+AG45</f>
        <v>1.7907849562756685E-2</v>
      </c>
      <c r="AI45" s="52"/>
      <c r="AJ45" s="52">
        <f t="shared" si="28"/>
        <v>0</v>
      </c>
      <c r="AK45" s="52"/>
      <c r="AL45" s="49">
        <f>+'[2]CDIS Table-4'!U42</f>
        <v>0</v>
      </c>
      <c r="AM45" s="52">
        <f t="shared" ref="AM45:AM51" si="38">+AL45</f>
        <v>0</v>
      </c>
      <c r="AN45" s="52">
        <f t="shared" si="22"/>
        <v>0</v>
      </c>
      <c r="AO45" s="52">
        <f t="shared" ref="AO45:AO51" si="39">+AM45</f>
        <v>0</v>
      </c>
      <c r="AP45" s="52">
        <f t="shared" si="24"/>
        <v>0</v>
      </c>
      <c r="AQ45" s="52">
        <f>+AF45</f>
        <v>0</v>
      </c>
      <c r="AR45" s="52">
        <f t="shared" si="27"/>
        <v>0</v>
      </c>
      <c r="AS45" s="52">
        <f>+AR45</f>
        <v>0</v>
      </c>
      <c r="AT45" s="52">
        <f t="shared" si="18"/>
        <v>0</v>
      </c>
    </row>
    <row r="46" spans="2:46" x14ac:dyDescent="0.35">
      <c r="B46" s="253" t="str">
        <f>+TableC1!B46</f>
        <v>China (except Hong Kong)</v>
      </c>
      <c r="C46" s="297" t="s">
        <v>70</v>
      </c>
      <c r="D46" s="308">
        <f t="shared" si="25"/>
        <v>6183.3143077794857</v>
      </c>
      <c r="E46" s="308">
        <f t="shared" si="31"/>
        <v>546.25601428860534</v>
      </c>
      <c r="F46" s="281">
        <f>HLOOKUP($B46,'[2]Interest shifted to EU'!$L$12:$AT$18,F$2,0)/E106</f>
        <v>35.901828867267078</v>
      </c>
      <c r="G46" s="281">
        <f>HLOOKUP($B46,'[2]Interest shifted to EU'!$L$12:$AT$18,G$2,0)/E106</f>
        <v>0</v>
      </c>
      <c r="H46" s="281">
        <f>HLOOKUP($B46,'[2]Interest shifted to EU'!$L$12:$AT$18,H$2,0)/E106</f>
        <v>0</v>
      </c>
      <c r="I46" s="281">
        <f>HLOOKUP($B46,'[2]Interest shifted to EU'!$L$12:$AT$18,I$2,0)/E106</f>
        <v>31.366889671821838</v>
      </c>
      <c r="J46" s="281">
        <f>HLOOKUP($B46,'[2]Interest shifted to EU'!$L$12:$AT$18,J$2,0)/E106</f>
        <v>55.927003414527256</v>
      </c>
      <c r="K46" s="281">
        <f>HLOOKUP($B46,'[2]Interest shifted to EU'!$L$12:$AT$18,K$2,0)/E106</f>
        <v>423.06029233498919</v>
      </c>
      <c r="L46" s="308">
        <f t="shared" si="32"/>
        <v>5637.0582934908807</v>
      </c>
      <c r="M46" s="290">
        <f>AC46*'[2]Non-EU tax havens'!$M$8</f>
        <v>715.41652205014111</v>
      </c>
      <c r="N46" s="295">
        <f>AC46*'[2]Non-EU tax havens'!$M$13</f>
        <v>4921.6417714407398</v>
      </c>
      <c r="O46" s="308">
        <f t="shared" si="26"/>
        <v>71578.87402339626</v>
      </c>
      <c r="P46" s="308">
        <f t="shared" si="33"/>
        <v>5770.2908413075238</v>
      </c>
      <c r="Q46" s="281">
        <f>HLOOKUP($B46,'[2]Non EU income shifted to EU'!$A$2:$AI$18,Q$2+10,0)/E106</f>
        <v>249.59563861230524</v>
      </c>
      <c r="R46" s="281">
        <f>HLOOKUP($B46,'[2]Non EU income shifted to EU'!$A$2:$AI$18,R$2+10,0)/E106</f>
        <v>13.608448563056189</v>
      </c>
      <c r="S46" s="281">
        <f>HLOOKUP($B46,'[2]Non EU income shifted to EU'!$A$2:$AI$18,S$2+10,0)/E106</f>
        <v>4053.7392454316328</v>
      </c>
      <c r="T46" s="281">
        <f>HLOOKUP($B46,'[2]Non EU income shifted to EU'!$A$2:$AI$18,T$2+10,0)/E106</f>
        <v>407.1260883643688</v>
      </c>
      <c r="U46" s="281">
        <f>HLOOKUP($B46,'[2]Non EU income shifted to EU'!$A$2:$AI$18,U$2+10,0)/E106</f>
        <v>0.68486480327336197</v>
      </c>
      <c r="V46" s="281">
        <f>HLOOKUP($B46,'[2]Non EU income shifted to EU'!$A$2:$AI$18,V$2+10,0)/E106</f>
        <v>1045.5365555328874</v>
      </c>
      <c r="W46" s="308">
        <f t="shared" si="34"/>
        <v>65808.58318208874</v>
      </c>
      <c r="X46" s="290">
        <f>IFERROR(IFERROR(VLOOKUP(C46,'[2]Swiss pivot'!$E$3:$H$54,4,0),VLOOKUP($C46,'[2]Breakdown non-EU havens'!$F$59:$H$86,3,0)/$E$106),AJ46*'[2]Non-EU tax havens'!$I$8)</f>
        <v>1397.5004090594034</v>
      </c>
      <c r="Y46" s="289">
        <f>AE46*'[2]Non-EU tax havens'!$O$13</f>
        <v>64411.082773029339</v>
      </c>
      <c r="Z46" s="266"/>
      <c r="AA46" s="49">
        <f>+'[2]CDIS Table-4'!O43</f>
        <v>7.58036095071591E-2</v>
      </c>
      <c r="AB46" s="52">
        <f t="shared" si="35"/>
        <v>7.58036095071591E-2</v>
      </c>
      <c r="AC46" s="52">
        <f t="shared" si="19"/>
        <v>0.17231852635073336</v>
      </c>
      <c r="AD46" s="52">
        <f t="shared" si="36"/>
        <v>7.58036095071591E-2</v>
      </c>
      <c r="AE46" s="52">
        <f t="shared" si="21"/>
        <v>0.22754914683407895</v>
      </c>
      <c r="AF46" s="52"/>
      <c r="AG46" s="49">
        <f t="shared" ref="AG46:AG79" si="40">+AA46</f>
        <v>7.58036095071591E-2</v>
      </c>
      <c r="AH46" s="52">
        <f t="shared" si="37"/>
        <v>7.58036095071591E-2</v>
      </c>
      <c r="AI46" s="52"/>
      <c r="AJ46" s="52">
        <f t="shared" si="28"/>
        <v>0</v>
      </c>
      <c r="AK46" s="52"/>
      <c r="AL46" s="49">
        <f>+'[2]CDIS Table-4'!U43</f>
        <v>0</v>
      </c>
      <c r="AM46" s="52">
        <f t="shared" si="38"/>
        <v>0</v>
      </c>
      <c r="AN46" s="52">
        <f t="shared" si="22"/>
        <v>0</v>
      </c>
      <c r="AO46" s="52">
        <f t="shared" si="39"/>
        <v>0</v>
      </c>
      <c r="AP46" s="52">
        <f t="shared" si="24"/>
        <v>0</v>
      </c>
      <c r="AQ46" s="52">
        <f>+AF46</f>
        <v>0</v>
      </c>
      <c r="AR46" s="52">
        <f t="shared" si="27"/>
        <v>0</v>
      </c>
      <c r="AS46" s="52">
        <f>+AR46</f>
        <v>0</v>
      </c>
      <c r="AT46" s="52">
        <f t="shared" si="18"/>
        <v>0</v>
      </c>
    </row>
    <row r="47" spans="2:46" x14ac:dyDescent="0.35">
      <c r="C47" s="297" t="s">
        <v>71</v>
      </c>
      <c r="D47" s="308">
        <f t="shared" si="25"/>
        <v>169.49654213486025</v>
      </c>
      <c r="E47" s="308">
        <f t="shared" si="31"/>
        <v>80.445829177327354</v>
      </c>
      <c r="F47" s="281">
        <f>AR47*'[2]Interest shifted to EU'!$AU$13</f>
        <v>11.935285493737112</v>
      </c>
      <c r="G47" s="281">
        <f>AR47*'[2]Interest shifted to EU'!$AU$14</f>
        <v>9.5542654556256679</v>
      </c>
      <c r="H47" s="281">
        <f>AR47*'[2]Interest shifted to EU'!$AU$15</f>
        <v>-22.835513366124381</v>
      </c>
      <c r="I47" s="281">
        <f>AR47*'[2]Interest shifted to EU'!$AU$16</f>
        <v>19.249461398687465</v>
      </c>
      <c r="J47" s="281">
        <f>AR47*'[2]Interest shifted to EU'!$AU$17</f>
        <v>53.052591036373855</v>
      </c>
      <c r="K47" s="281">
        <f>AR47*'[2]Interest shifted to EU'!$AU$18</f>
        <v>9.489739159027641</v>
      </c>
      <c r="L47" s="308">
        <f t="shared" si="32"/>
        <v>89.050712957532909</v>
      </c>
      <c r="M47" s="290">
        <f>AC47*'[2]Non-EU tax havens'!$M$8</f>
        <v>11.301701709157017</v>
      </c>
      <c r="N47" s="295">
        <f>AC47*'[2]Non-EU tax havens'!$M$13</f>
        <v>77.749011248375894</v>
      </c>
      <c r="O47" s="308">
        <f t="shared" si="26"/>
        <v>1717.0335222906972</v>
      </c>
      <c r="P47" s="308">
        <f t="shared" si="33"/>
        <v>438.33303516272895</v>
      </c>
      <c r="Q47" s="281">
        <f>AR47*'[2]Non EU income shifted to EU'!$AJ$13</f>
        <v>12.345163541899311</v>
      </c>
      <c r="R47" s="281">
        <f>AR47*'[2]Non EU income shifted to EU'!$AJ$14</f>
        <v>12.320289385413808</v>
      </c>
      <c r="S47" s="281">
        <f>AR47*'[2]Non EU income shifted to EU'!$AJ$15</f>
        <v>328.90808513148534</v>
      </c>
      <c r="T47" s="281">
        <f>AR47*'[2]Non EU income shifted to EU'!$AJ$16</f>
        <v>20.920665966366382</v>
      </c>
      <c r="U47" s="281">
        <f>AR47*'[2]Non EU income shifted to EU'!$AJ$17</f>
        <v>-1.7177746354617378</v>
      </c>
      <c r="V47" s="281">
        <f>AR47*'[2]Non EU income shifted to EU'!$AJ$18</f>
        <v>65.556605773025893</v>
      </c>
      <c r="W47" s="308">
        <f t="shared" si="34"/>
        <v>1278.7004871279682</v>
      </c>
      <c r="X47" s="290">
        <f>IFERROR(IFERROR(VLOOKUP(C47,'[2]Swiss pivot'!$E$3:$H$54,4,0),VLOOKUP($C47,'[2]Breakdown non-EU havens'!$F$59:$H$86,3,0)/$E$106),AJ47*'[2]Non-EU tax havens'!$I$8)</f>
        <v>261.17458182943221</v>
      </c>
      <c r="Y47" s="289">
        <f>AE47*'[2]Non-EU tax havens'!$O$13</f>
        <v>1017.5259052985359</v>
      </c>
      <c r="Z47" s="266"/>
      <c r="AA47" s="49">
        <v>1.1974979004850091E-3</v>
      </c>
      <c r="AB47" s="52">
        <f t="shared" si="35"/>
        <v>1.1974979004850091E-3</v>
      </c>
      <c r="AC47" s="52">
        <f t="shared" si="19"/>
        <v>2.7221800500170845E-3</v>
      </c>
      <c r="AD47" s="52">
        <f t="shared" si="36"/>
        <v>1.1974979004850091E-3</v>
      </c>
      <c r="AE47" s="52">
        <f t="shared" si="21"/>
        <v>3.5946787674435202E-3</v>
      </c>
      <c r="AF47" s="52"/>
      <c r="AG47" s="49">
        <f t="shared" si="40"/>
        <v>1.1974979004850091E-3</v>
      </c>
      <c r="AH47" s="52">
        <f t="shared" si="37"/>
        <v>1.1974979004850091E-3</v>
      </c>
      <c r="AI47" s="52">
        <f>+AH47</f>
        <v>1.1974979004850091E-3</v>
      </c>
      <c r="AJ47" s="52">
        <f t="shared" si="28"/>
        <v>8.9869952627441452E-3</v>
      </c>
      <c r="AK47" s="52"/>
      <c r="AL47" s="49" t="e">
        <f>+[3]TableB2!R48/[3]TableB2!$L$91</f>
        <v>#REF!</v>
      </c>
      <c r="AM47" s="52" t="e">
        <f t="shared" si="38"/>
        <v>#REF!</v>
      </c>
      <c r="AN47" s="52" t="e">
        <f t="shared" si="22"/>
        <v>#REF!</v>
      </c>
      <c r="AO47" s="52" t="e">
        <f t="shared" si="39"/>
        <v>#REF!</v>
      </c>
      <c r="AP47" s="52" t="e">
        <f t="shared" si="24"/>
        <v>#REF!</v>
      </c>
      <c r="AQ47" s="52">
        <f>+AB47</f>
        <v>1.1974979004850091E-3</v>
      </c>
      <c r="AR47" s="52">
        <f t="shared" si="27"/>
        <v>1.1673074128914558E-2</v>
      </c>
      <c r="AS47" s="52">
        <f>+AD47</f>
        <v>1.1974979004850091E-3</v>
      </c>
      <c r="AT47" s="52">
        <f>+AS47/$AS$99</f>
        <v>1.1673074128914558E-2</v>
      </c>
    </row>
    <row r="48" spans="2:46" x14ac:dyDescent="0.35">
      <c r="C48" s="297" t="s">
        <v>72</v>
      </c>
      <c r="D48" s="308">
        <f t="shared" si="25"/>
        <v>146.63596239961538</v>
      </c>
      <c r="E48" s="308">
        <f t="shared" si="31"/>
        <v>69.595824397802446</v>
      </c>
      <c r="F48" s="290">
        <f>AR48*'[2]Interest shifted to EU'!$AU$13</f>
        <v>10.325532620575858</v>
      </c>
      <c r="G48" s="290">
        <f>AR48*'[2]Interest shifted to EU'!$AU$14</f>
        <v>8.2656489180313901</v>
      </c>
      <c r="H48" s="290">
        <f>AR48*'[2]Interest shifted to EU'!$AU$15</f>
        <v>-19.755609389757833</v>
      </c>
      <c r="I48" s="290">
        <f>AR48*'[2]Interest shifted to EU'!$AU$16</f>
        <v>16.653220545495998</v>
      </c>
      <c r="J48" s="290">
        <f>AR48*'[2]Interest shifted to EU'!$AU$17</f>
        <v>45.89720619918122</v>
      </c>
      <c r="K48" s="290">
        <f>AR48*'[2]Interest shifted to EU'!$AU$18</f>
        <v>8.209825504275809</v>
      </c>
      <c r="L48" s="308">
        <f t="shared" si="32"/>
        <v>77.040138001812949</v>
      </c>
      <c r="M48" s="290">
        <f>AC48*'[2]Non-EU tax havens'!$M$8</f>
        <v>9.7774024531841732</v>
      </c>
      <c r="N48" s="295">
        <f>AC48*'[2]Non-EU tax havens'!$M$13</f>
        <v>67.262735548628768</v>
      </c>
      <c r="O48" s="308">
        <f t="shared" si="26"/>
        <v>1485.4513245064875</v>
      </c>
      <c r="P48" s="308">
        <f t="shared" si="33"/>
        <v>379.21355594080728</v>
      </c>
      <c r="Q48" s="290">
        <f>AR48*'[2]Non EU income shifted to EU'!$AJ$13</f>
        <v>10.680129011167232</v>
      </c>
      <c r="R48" s="290">
        <f>AR48*'[2]Non EU income shifted to EU'!$AJ$14</f>
        <v>10.658609717444838</v>
      </c>
      <c r="S48" s="290">
        <f>AR48*'[2]Non EU income shifted to EU'!$AJ$15</f>
        <v>284.54712406991695</v>
      </c>
      <c r="T48" s="290">
        <f>AR48*'[2]Non EU income shifted to EU'!$AJ$16</f>
        <v>18.099024023617986</v>
      </c>
      <c r="U48" s="290">
        <f>AR48*'[2]Non EU income shifted to EU'!$AJ$17</f>
        <v>-1.4860924812033369</v>
      </c>
      <c r="V48" s="290">
        <f>AR48*'[2]Non EU income shifted to EU'!$AJ$18</f>
        <v>56.714761599863586</v>
      </c>
      <c r="W48" s="308">
        <f t="shared" si="34"/>
        <v>1106.2377685656802</v>
      </c>
      <c r="X48" s="290">
        <f>IFERROR(IFERROR(VLOOKUP(C48,'[2]Swiss pivot'!$E$3:$H$54,4,0),VLOOKUP($C48,'[2]Breakdown non-EU havens'!$F$59:$H$86,3,0)/$E$106),AJ48*'[2]Non-EU tax havens'!$I$8)</f>
        <v>225.94907057398453</v>
      </c>
      <c r="Y48" s="289">
        <f>AE48*'[2]Non-EU tax havens'!$O$13</f>
        <v>880.28869799169559</v>
      </c>
      <c r="Z48" s="266"/>
      <c r="AA48" s="49">
        <f>+'[2]CDIS Table-4'!O45</f>
        <v>1.0359872531760833E-3</v>
      </c>
      <c r="AB48" s="52">
        <f t="shared" si="35"/>
        <v>1.0359872531760833E-3</v>
      </c>
      <c r="AC48" s="52">
        <f t="shared" si="19"/>
        <v>2.3550302940203247E-3</v>
      </c>
      <c r="AD48" s="52">
        <f t="shared" si="36"/>
        <v>1.0359872531760833E-3</v>
      </c>
      <c r="AE48" s="52">
        <f t="shared" si="21"/>
        <v>3.1098521181756517E-3</v>
      </c>
      <c r="AF48" s="52"/>
      <c r="AG48" s="49">
        <f t="shared" si="40"/>
        <v>1.0359872531760833E-3</v>
      </c>
      <c r="AH48" s="52">
        <f t="shared" si="37"/>
        <v>1.0359872531760833E-3</v>
      </c>
      <c r="AI48" s="52">
        <f>+AH48</f>
        <v>1.0359872531760833E-3</v>
      </c>
      <c r="AJ48" s="52">
        <f t="shared" si="28"/>
        <v>7.7748884008781039E-3</v>
      </c>
      <c r="AK48" s="52"/>
      <c r="AL48" s="49">
        <f>+'[2]CDIS Table-4'!U45</f>
        <v>0</v>
      </c>
      <c r="AM48" s="52">
        <f t="shared" si="38"/>
        <v>0</v>
      </c>
      <c r="AN48" s="52">
        <f t="shared" si="22"/>
        <v>0</v>
      </c>
      <c r="AO48" s="52">
        <f t="shared" si="39"/>
        <v>0</v>
      </c>
      <c r="AP48" s="52">
        <f t="shared" si="24"/>
        <v>0</v>
      </c>
      <c r="AQ48" s="52">
        <f>+AB48</f>
        <v>1.0359872531760833E-3</v>
      </c>
      <c r="AR48" s="52">
        <f t="shared" si="27"/>
        <v>1.0098686601485515E-2</v>
      </c>
      <c r="AS48" s="52">
        <f>+AD48</f>
        <v>1.0359872531760833E-3</v>
      </c>
      <c r="AT48" s="52">
        <f>+AS48/$AS$99</f>
        <v>1.0098686601485515E-2</v>
      </c>
    </row>
    <row r="49" spans="2:46" ht="14" customHeight="1" x14ac:dyDescent="0.35">
      <c r="C49" s="297" t="s">
        <v>73</v>
      </c>
      <c r="D49" s="308">
        <f t="shared" si="25"/>
        <v>1092.5501180936108</v>
      </c>
      <c r="E49" s="308">
        <f t="shared" si="31"/>
        <v>130.60596523919907</v>
      </c>
      <c r="F49" s="281">
        <f>HLOOKUP($C49,'[2]Interest shifted to EU'!$L$12:$AT$18,F$2,0)/E106</f>
        <v>7.0858872764342911</v>
      </c>
      <c r="G49" s="281">
        <f>HLOOKUP($C49,'[2]Interest shifted to EU'!$L$12:$AT$18,G$2,0)/E106</f>
        <v>0</v>
      </c>
      <c r="H49" s="281">
        <f>HLOOKUP($C49,'[2]Interest shifted to EU'!$L$12:$AT$18,H$2,0)/E106</f>
        <v>0</v>
      </c>
      <c r="I49" s="281">
        <f>HLOOKUP($C49,'[2]Interest shifted to EU'!$L$12:$AT$18,I$2,0)/E106</f>
        <v>20.4516716541549</v>
      </c>
      <c r="J49" s="281">
        <f>HLOOKUP($C49,'[2]Interest shifted to EU'!$L$12:$AT$18,J$2,0)/E106</f>
        <v>8.0731448443564453</v>
      </c>
      <c r="K49" s="281">
        <f>HLOOKUP($C49,'[2]Interest shifted to EU'!$L$12:$AT$18,K$2,0)/E106</f>
        <v>94.995261464253446</v>
      </c>
      <c r="L49" s="308">
        <f t="shared" si="32"/>
        <v>961.94415285441164</v>
      </c>
      <c r="M49" s="290">
        <f>AC49*'[2]Non-EU tax havens'!$M$8</f>
        <v>122.08331090636889</v>
      </c>
      <c r="N49" s="295">
        <f>AC49*'[2]Non-EU tax havens'!$M$13</f>
        <v>839.86084194804278</v>
      </c>
      <c r="O49" s="308">
        <f t="shared" si="26"/>
        <v>14898.731470966512</v>
      </c>
      <c r="P49" s="308">
        <f t="shared" si="33"/>
        <v>3650.2196480482658</v>
      </c>
      <c r="Q49" s="281">
        <f>HLOOKUP($C49,'[2]Non EU income shifted to EU'!$A$2:$AI$18,Q$2+10,0)/E106</f>
        <v>73.902619253922779</v>
      </c>
      <c r="R49" s="281">
        <f>HLOOKUP($C49,'[2]Non EU income shifted to EU'!$A$2:$AI$18,R$2+10,0)/E106</f>
        <v>9.9795289462412065</v>
      </c>
      <c r="S49" s="281">
        <f>HLOOKUP($C49,'[2]Non EU income shifted to EU'!$A$2:$AI$18,S$2+10,0)/E106</f>
        <v>2860.3387970646459</v>
      </c>
      <c r="T49" s="281">
        <f>HLOOKUP($C49,'[2]Non EU income shifted to EU'!$A$2:$AI$18,T$2+10,0)/E106</f>
        <v>216.25635178707816</v>
      </c>
      <c r="U49" s="281">
        <f>HLOOKUP($C49,'[2]Non EU income shifted to EU'!$A$2:$AI$18,U$2+10,0)/E106</f>
        <v>1.4750934224349332</v>
      </c>
      <c r="V49" s="281">
        <f>HLOOKUP($C49,'[2]Non EU income shifted to EU'!$A$2:$AI$18,V$2+10,0)/E106</f>
        <v>488.26725757394297</v>
      </c>
      <c r="W49" s="308">
        <f t="shared" si="34"/>
        <v>11248.511822918246</v>
      </c>
      <c r="X49" s="290">
        <f>IFERROR(IFERROR(VLOOKUP(C49,'[2]Swiss pivot'!$E$3:$H$54,4,0),VLOOKUP($C49,'[2]Breakdown non-EU havens'!$F$59:$H$86,3,0)/$E$106),AJ49*'[2]Non-EU tax havens'!$I$8)</f>
        <v>256.98730310225687</v>
      </c>
      <c r="Y49" s="289">
        <f>AE49*'[2]Non-EU tax havens'!$O$13</f>
        <v>10991.52451981599</v>
      </c>
      <c r="Z49" s="266"/>
      <c r="AA49" s="49">
        <f>+'[2]CDIS Table-4'!O46</f>
        <v>1.2935619100279711E-2</v>
      </c>
      <c r="AB49" s="52">
        <f t="shared" si="35"/>
        <v>1.2935619100279711E-2</v>
      </c>
      <c r="AC49" s="52">
        <f t="shared" si="19"/>
        <v>2.9405549884588038E-2</v>
      </c>
      <c r="AD49" s="52">
        <f t="shared" si="36"/>
        <v>1.2935619100279711E-2</v>
      </c>
      <c r="AE49" s="52">
        <f t="shared" si="21"/>
        <v>3.8830460833943176E-2</v>
      </c>
      <c r="AF49" s="52"/>
      <c r="AG49" s="49">
        <f t="shared" si="40"/>
        <v>1.2935619100279711E-2</v>
      </c>
      <c r="AH49" s="52">
        <f t="shared" si="37"/>
        <v>1.2935619100279711E-2</v>
      </c>
      <c r="AI49" s="52"/>
      <c r="AJ49" s="52">
        <f t="shared" si="28"/>
        <v>0</v>
      </c>
      <c r="AK49" s="52"/>
      <c r="AL49" s="49">
        <f>+'[2]CDIS Table-4'!U46</f>
        <v>0</v>
      </c>
      <c r="AM49" s="52">
        <f t="shared" si="38"/>
        <v>0</v>
      </c>
      <c r="AN49" s="52">
        <f t="shared" si="22"/>
        <v>0</v>
      </c>
      <c r="AO49" s="52">
        <f t="shared" si="39"/>
        <v>0</v>
      </c>
      <c r="AP49" s="52">
        <f t="shared" si="24"/>
        <v>0</v>
      </c>
      <c r="AQ49" s="52">
        <f>+AF49</f>
        <v>0</v>
      </c>
      <c r="AR49" s="52">
        <f t="shared" si="27"/>
        <v>0</v>
      </c>
      <c r="AS49" s="52">
        <f>+AR49</f>
        <v>0</v>
      </c>
      <c r="AT49" s="52">
        <f t="shared" ref="AT49:AT88" si="41">+AS49/$AB$104</f>
        <v>0</v>
      </c>
    </row>
    <row r="50" spans="2:46" ht="14" customHeight="1" x14ac:dyDescent="0.35">
      <c r="B50" s="253" t="str">
        <f>+TableC1!B50</f>
        <v>Russian Federation</v>
      </c>
      <c r="C50" s="297" t="s">
        <v>74</v>
      </c>
      <c r="D50" s="308">
        <f t="shared" si="25"/>
        <v>2588.257599980484</v>
      </c>
      <c r="E50" s="308">
        <f t="shared" si="31"/>
        <v>1663.3305580662359</v>
      </c>
      <c r="F50" s="281">
        <f>HLOOKUP($C50,'[2]Interest shifted to EU'!$L$12:$AT$18,F$2,0)/E106</f>
        <v>327.27351367424512</v>
      </c>
      <c r="G50" s="281">
        <f>HLOOKUP($C50,'[2]Interest shifted to EU'!$L$12:$AT$18,G$2,0)/E106</f>
        <v>157.45661279295942</v>
      </c>
      <c r="H50" s="281">
        <f>HLOOKUP($C50,'[2]Interest shifted to EU'!$L$12:$AT$18,H$2,0)/E106</f>
        <v>-17.620048566426224</v>
      </c>
      <c r="I50" s="281">
        <f>HLOOKUP($C50,'[2]Interest shifted to EU'!$L$12:$AT$18,I$2,0)/E106</f>
        <v>39.984167054190465</v>
      </c>
      <c r="J50" s="281">
        <f>HLOOKUP($C50,'[2]Interest shifted to EU'!$L$12:$AT$18,J$2,0)/E106</f>
        <v>822.75876152919602</v>
      </c>
      <c r="K50" s="281">
        <f>HLOOKUP($C50,'[2]Interest shifted to EU'!$L$12:$AT$18,K$2,0)/E106</f>
        <v>333.4775515820711</v>
      </c>
      <c r="L50" s="308">
        <f t="shared" si="32"/>
        <v>924.92704191424832</v>
      </c>
      <c r="M50" s="290">
        <f>AC50*'[2]Non-EU tax havens'!$M$8</f>
        <v>117.38535474087467</v>
      </c>
      <c r="N50" s="295">
        <f>AC50*'[2]Non-EU tax havens'!$M$13</f>
        <v>807.5416871733737</v>
      </c>
      <c r="O50" s="308">
        <f t="shared" si="26"/>
        <v>14477.989161232712</v>
      </c>
      <c r="P50" s="308">
        <f t="shared" si="33"/>
        <v>3348.1014516907157</v>
      </c>
      <c r="Q50" s="281">
        <f>HLOOKUP($C50,'[2]Non EU income shifted to EU'!$A$2:$AI$18,Q$2+10,0)/E106</f>
        <v>68.789859431324345</v>
      </c>
      <c r="R50" s="281">
        <f>HLOOKUP($C50,'[2]Non EU income shifted to EU'!$A$2:$AI$18,R$2+10,0)/E106</f>
        <v>472.66678009015163</v>
      </c>
      <c r="S50" s="281">
        <f>HLOOKUP($C50,'[2]Non EU income shifted to EU'!$A$2:$AI$18,S$2+10,0)/E106</f>
        <v>1379.4180271515916</v>
      </c>
      <c r="T50" s="281">
        <f>HLOOKUP($C50,'[2]Non EU income shifted to EU'!$A$2:$AI$18,T$2+10,0)/E106</f>
        <v>171.43800641671265</v>
      </c>
      <c r="U50" s="281">
        <f>HLOOKUP($C50,'[2]Non EU income shifted to EU'!$A$2:$AI$18,U$2+10,0)/E106</f>
        <v>2.7921411210375524</v>
      </c>
      <c r="V50" s="281">
        <f>HLOOKUP($C50,'[2]Non EU income shifted to EU'!$A$2:$AI$18,V$2+10,0)/E106</f>
        <v>1252.9966374798978</v>
      </c>
      <c r="W50" s="308">
        <f t="shared" si="34"/>
        <v>11129.887709541996</v>
      </c>
      <c r="X50" s="290">
        <f>IFERROR(IFERROR(VLOOKUP(C50,'[2]Swiss pivot'!$E$3:$H$54,4,0),VLOOKUP($C50,'[2]Breakdown non-EU havens'!$F$59:$H$86,3,0)/$E$106),AJ50*'[2]Non-EU tax havens'!$I$8)</f>
        <v>561.33419209056274</v>
      </c>
      <c r="Y50" s="289">
        <f>AE50*'[2]Non-EU tax havens'!$O$13</f>
        <v>10568.553517451433</v>
      </c>
      <c r="Z50" s="266"/>
      <c r="AA50" s="49">
        <f>+'[2]CDIS Table-4'!O47</f>
        <v>1.2437836307075061E-2</v>
      </c>
      <c r="AB50" s="52">
        <f t="shared" si="35"/>
        <v>1.2437836307075061E-2</v>
      </c>
      <c r="AC50" s="52">
        <f t="shared" si="19"/>
        <v>2.8273978473602971E-2</v>
      </c>
      <c r="AD50" s="52">
        <f t="shared" si="36"/>
        <v>1.2437836307075061E-2</v>
      </c>
      <c r="AE50" s="52">
        <f t="shared" si="21"/>
        <v>3.7336204153570911E-2</v>
      </c>
      <c r="AF50" s="52"/>
      <c r="AG50" s="49">
        <f t="shared" si="40"/>
        <v>1.2437836307075061E-2</v>
      </c>
      <c r="AH50" s="52">
        <f t="shared" si="37"/>
        <v>1.2437836307075061E-2</v>
      </c>
      <c r="AI50" s="52"/>
      <c r="AJ50" s="52">
        <f t="shared" si="28"/>
        <v>0</v>
      </c>
      <c r="AK50" s="52"/>
      <c r="AL50" s="49">
        <f>+'[2]CDIS Table-4'!U47</f>
        <v>0</v>
      </c>
      <c r="AM50" s="52">
        <f t="shared" si="38"/>
        <v>0</v>
      </c>
      <c r="AN50" s="52">
        <f t="shared" si="22"/>
        <v>0</v>
      </c>
      <c r="AO50" s="52">
        <f t="shared" si="39"/>
        <v>0</v>
      </c>
      <c r="AP50" s="52">
        <f t="shared" si="24"/>
        <v>0</v>
      </c>
      <c r="AQ50" s="52">
        <f>+AF50</f>
        <v>0</v>
      </c>
      <c r="AR50" s="52">
        <f t="shared" si="27"/>
        <v>0</v>
      </c>
      <c r="AS50" s="52">
        <f>+AR50</f>
        <v>0</v>
      </c>
      <c r="AT50" s="52">
        <f t="shared" si="41"/>
        <v>0</v>
      </c>
    </row>
    <row r="51" spans="2:46" ht="14" customHeight="1" x14ac:dyDescent="0.35">
      <c r="C51" s="297" t="s">
        <v>76</v>
      </c>
      <c r="D51" s="308">
        <f t="shared" si="25"/>
        <v>554.53032541069388</v>
      </c>
      <c r="E51" s="308">
        <f t="shared" si="31"/>
        <v>226.69602800949718</v>
      </c>
      <c r="F51" s="281">
        <f>HLOOKUP($C51,'[2]Interest shifted to EU'!$L$12:$AT$18,F$2,0)/E106</f>
        <v>14.455210043925955</v>
      </c>
      <c r="G51" s="281">
        <f>HLOOKUP($C51,'[2]Interest shifted to EU'!$L$12:$AT$18,G$2,0)/E106</f>
        <v>0</v>
      </c>
      <c r="H51" s="281">
        <f>HLOOKUP($C51,'[2]Interest shifted to EU'!$L$12:$AT$18,H$2,0)/E106</f>
        <v>0</v>
      </c>
      <c r="I51" s="281">
        <f>HLOOKUP($C51,'[2]Interest shifted to EU'!$L$12:$AT$18,I$2,0)/E106</f>
        <v>70.202086408363158</v>
      </c>
      <c r="J51" s="281">
        <f>HLOOKUP($C51,'[2]Interest shifted to EU'!$L$12:$AT$18,J$2,0)/E106</f>
        <v>1.7550314879035749</v>
      </c>
      <c r="K51" s="281">
        <f>HLOOKUP($C51,'[2]Interest shifted to EU'!$L$12:$AT$18,K$2,0)/E106</f>
        <v>140.2837000693045</v>
      </c>
      <c r="L51" s="308">
        <f t="shared" si="32"/>
        <v>327.83429740119664</v>
      </c>
      <c r="M51" s="290">
        <f>AC51*'[2]Non-EU tax havens'!$M$8</f>
        <v>41.606465756498764</v>
      </c>
      <c r="N51" s="295">
        <f>AC51*'[2]Non-EU tax havens'!$M$13</f>
        <v>286.22783164469786</v>
      </c>
      <c r="O51" s="308">
        <f t="shared" si="26"/>
        <v>6087.4895160488077</v>
      </c>
      <c r="P51" s="308">
        <f t="shared" si="33"/>
        <v>1380.0384259707635</v>
      </c>
      <c r="Q51" s="281">
        <f>HLOOKUP($C51,'[2]Non EU income shifted to EU'!$A$2:$AI$18,Q$2+10,0)/E106</f>
        <v>57.634747091109581</v>
      </c>
      <c r="R51" s="281">
        <f>HLOOKUP($C51,'[2]Non EU income shifted to EU'!$A$2:$AI$18,R$2+10,0)/E106</f>
        <v>6.3506093294262218</v>
      </c>
      <c r="S51" s="281">
        <f>HLOOKUP($C51,'[2]Non EU income shifted to EU'!$A$2:$AI$18,S$2+10,0)/E106</f>
        <v>809.26140724672348</v>
      </c>
      <c r="T51" s="281">
        <f>HLOOKUP($C51,'[2]Non EU income shifted to EU'!$A$2:$AI$18,T$2+10,0)/E106</f>
        <v>236.10596861777614</v>
      </c>
      <c r="U51" s="281">
        <f>HLOOKUP($C51,'[2]Non EU income shifted to EU'!$A$2:$AI$18,U$2+10,0)/E106</f>
        <v>3.108232568702181</v>
      </c>
      <c r="V51" s="281">
        <f>HLOOKUP($C51,'[2]Non EU income shifted to EU'!$A$2:$AI$18,V$2+10,0)/E106</f>
        <v>267.57746111702602</v>
      </c>
      <c r="W51" s="308">
        <f t="shared" si="34"/>
        <v>4707.4510900780442</v>
      </c>
      <c r="X51" s="290">
        <f>IFERROR(IFERROR(VLOOKUP(C51,'[2]Swiss pivot'!$E$3:$H$54,4,0),VLOOKUP($C51,'[2]Breakdown non-EU havens'!$F$59:$H$86,3,0)/$E$106),AJ51*'[2]Non-EU tax havens'!$I$8)</f>
        <v>961.49691214639915</v>
      </c>
      <c r="Y51" s="289">
        <f>AE51*'[2]Non-EU tax havens'!$O$13</f>
        <v>3745.9541779316451</v>
      </c>
      <c r="Z51" s="266"/>
      <c r="AA51" s="49">
        <f>+'[2]CDIS Table-4'!O48</f>
        <v>4.4085091495239077E-3</v>
      </c>
      <c r="AB51" s="52">
        <f t="shared" si="35"/>
        <v>4.4085091495239077E-3</v>
      </c>
      <c r="AC51" s="52">
        <f t="shared" si="19"/>
        <v>1.002152542588278E-2</v>
      </c>
      <c r="AD51" s="52">
        <f t="shared" si="36"/>
        <v>4.4085091495239077E-3</v>
      </c>
      <c r="AE51" s="52">
        <f t="shared" si="21"/>
        <v>1.3233571624180452E-2</v>
      </c>
      <c r="AF51" s="52"/>
      <c r="AG51" s="49">
        <f t="shared" si="40"/>
        <v>4.4085091495239077E-3</v>
      </c>
      <c r="AH51" s="52">
        <f t="shared" si="37"/>
        <v>4.4085091495239077E-3</v>
      </c>
      <c r="AI51" s="52">
        <f t="shared" ref="AI51:AI88" si="42">+AH51</f>
        <v>4.4085091495239077E-3</v>
      </c>
      <c r="AJ51" s="52">
        <f t="shared" si="28"/>
        <v>3.3085027394610909E-2</v>
      </c>
      <c r="AK51" s="52"/>
      <c r="AL51" s="49">
        <f>+'[2]CDIS Table-4'!U48</f>
        <v>0</v>
      </c>
      <c r="AM51" s="52">
        <f t="shared" si="38"/>
        <v>0</v>
      </c>
      <c r="AN51" s="52">
        <f t="shared" si="22"/>
        <v>0</v>
      </c>
      <c r="AO51" s="52">
        <f t="shared" si="39"/>
        <v>0</v>
      </c>
      <c r="AP51" s="52">
        <f t="shared" si="24"/>
        <v>0</v>
      </c>
      <c r="AQ51" s="52">
        <f>+AF51</f>
        <v>0</v>
      </c>
      <c r="AR51" s="52">
        <f t="shared" si="27"/>
        <v>0</v>
      </c>
      <c r="AS51" s="52">
        <f>+AR51</f>
        <v>0</v>
      </c>
      <c r="AT51" s="52">
        <f t="shared" si="41"/>
        <v>0</v>
      </c>
    </row>
    <row r="52" spans="2:46" ht="40" hidden="1" customHeight="1" x14ac:dyDescent="0.35">
      <c r="C52" s="307" t="s">
        <v>77</v>
      </c>
      <c r="D52" s="305"/>
      <c r="E52" s="293"/>
      <c r="F52" s="269"/>
      <c r="G52" s="269"/>
      <c r="H52" s="269"/>
      <c r="I52" s="303"/>
      <c r="J52" s="303"/>
      <c r="K52" s="303"/>
      <c r="L52" s="304"/>
      <c r="M52" s="303"/>
      <c r="N52" s="306"/>
      <c r="O52" s="305"/>
      <c r="P52" s="293"/>
      <c r="Q52" s="269"/>
      <c r="R52" s="269"/>
      <c r="S52" s="269"/>
      <c r="T52" s="303"/>
      <c r="U52" s="303"/>
      <c r="V52" s="303"/>
      <c r="W52" s="304"/>
      <c r="X52" s="290">
        <f>IFERROR(IFERROR(VLOOKUP(C52,'[2]Swiss pivot'!$E$3:$H$54,4,0),VLOOKUP($C52,'[2]Breakdown non-EU havens'!$F$59:$H$86,3,0)/$E$106),AJ52*'[2]Non-EU tax havens'!$I$8)</f>
        <v>0</v>
      </c>
      <c r="Y52" s="302"/>
      <c r="Z52" s="266"/>
      <c r="AB52" s="52"/>
      <c r="AC52" s="52">
        <f t="shared" si="19"/>
        <v>0</v>
      </c>
      <c r="AD52" s="52"/>
      <c r="AE52" s="52">
        <f t="shared" si="21"/>
        <v>0</v>
      </c>
      <c r="AF52" s="52"/>
      <c r="AG52" s="49">
        <f t="shared" si="40"/>
        <v>0</v>
      </c>
      <c r="AH52" s="52">
        <f t="shared" si="37"/>
        <v>0</v>
      </c>
      <c r="AI52" s="52">
        <f t="shared" si="42"/>
        <v>0</v>
      </c>
      <c r="AJ52" s="52">
        <f t="shared" si="28"/>
        <v>0</v>
      </c>
      <c r="AK52" s="52"/>
      <c r="AM52" s="52"/>
      <c r="AN52" s="52">
        <f t="shared" si="22"/>
        <v>0</v>
      </c>
      <c r="AO52" s="52"/>
      <c r="AP52" s="52">
        <f t="shared" si="24"/>
        <v>0</v>
      </c>
      <c r="AQ52" s="52"/>
      <c r="AR52" s="52">
        <f t="shared" si="27"/>
        <v>0</v>
      </c>
      <c r="AS52" s="52"/>
      <c r="AT52" s="52">
        <f t="shared" si="41"/>
        <v>0</v>
      </c>
    </row>
    <row r="53" spans="2:46" ht="14" hidden="1" customHeight="1" x14ac:dyDescent="0.35">
      <c r="C53" s="297" t="s">
        <v>78</v>
      </c>
      <c r="D53" s="294"/>
      <c r="E53" s="293"/>
      <c r="F53" s="292"/>
      <c r="G53" s="292"/>
      <c r="H53" s="292"/>
      <c r="I53" s="290"/>
      <c r="J53" s="290"/>
      <c r="K53" s="290"/>
      <c r="L53" s="296"/>
      <c r="M53" s="290"/>
      <c r="N53" s="295"/>
      <c r="O53" s="294"/>
      <c r="P53" s="293"/>
      <c r="Q53" s="292"/>
      <c r="R53" s="292"/>
      <c r="S53" s="292"/>
      <c r="T53" s="290"/>
      <c r="U53" s="290"/>
      <c r="V53" s="290"/>
      <c r="W53" s="296"/>
      <c r="X53" s="290">
        <f>IFERROR(IFERROR(VLOOKUP(C53,'[2]Swiss pivot'!$E$3:$H$54,4,0),VLOOKUP($C53,'[2]Breakdown non-EU havens'!$F$59:$H$86,3,0)/$E$106),AJ53*'[2]Non-EU tax havens'!$I$8)</f>
        <v>0</v>
      </c>
      <c r="Y53" s="289"/>
      <c r="Z53" s="266"/>
      <c r="AA53" s="49"/>
      <c r="AB53" s="52"/>
      <c r="AC53" s="52">
        <f t="shared" si="19"/>
        <v>0</v>
      </c>
      <c r="AD53" s="52"/>
      <c r="AE53" s="52">
        <f t="shared" si="21"/>
        <v>0</v>
      </c>
      <c r="AF53" s="52"/>
      <c r="AG53" s="49">
        <f t="shared" si="40"/>
        <v>0</v>
      </c>
      <c r="AH53" s="52">
        <f t="shared" si="37"/>
        <v>0</v>
      </c>
      <c r="AI53" s="52">
        <f t="shared" si="42"/>
        <v>0</v>
      </c>
      <c r="AJ53" s="52">
        <f t="shared" si="28"/>
        <v>0</v>
      </c>
      <c r="AK53" s="52"/>
      <c r="AL53" s="49"/>
      <c r="AM53" s="52"/>
      <c r="AN53" s="52">
        <f t="shared" si="22"/>
        <v>0</v>
      </c>
      <c r="AO53" s="52"/>
      <c r="AP53" s="52">
        <f t="shared" si="24"/>
        <v>0</v>
      </c>
      <c r="AQ53" s="52"/>
      <c r="AR53" s="52">
        <f t="shared" si="27"/>
        <v>0</v>
      </c>
      <c r="AS53" s="52"/>
      <c r="AT53" s="52">
        <f t="shared" si="41"/>
        <v>0</v>
      </c>
    </row>
    <row r="54" spans="2:46" ht="14" hidden="1" customHeight="1" x14ac:dyDescent="0.35">
      <c r="C54" s="297" t="s">
        <v>79</v>
      </c>
      <c r="D54" s="294"/>
      <c r="E54" s="293"/>
      <c r="F54" s="292"/>
      <c r="G54" s="292"/>
      <c r="H54" s="292"/>
      <c r="I54" s="290"/>
      <c r="J54" s="290"/>
      <c r="K54" s="290"/>
      <c r="L54" s="296"/>
      <c r="M54" s="290"/>
      <c r="N54" s="295"/>
      <c r="O54" s="294"/>
      <c r="P54" s="293"/>
      <c r="Q54" s="292"/>
      <c r="R54" s="292"/>
      <c r="S54" s="292"/>
      <c r="T54" s="290"/>
      <c r="U54" s="290"/>
      <c r="V54" s="290"/>
      <c r="W54" s="296"/>
      <c r="X54" s="290">
        <f>IFERROR(IFERROR(VLOOKUP(C54,'[2]Swiss pivot'!$E$3:$H$54,4,0),VLOOKUP($C54,'[2]Breakdown non-EU havens'!$F$59:$H$86,3,0)/$E$106),AJ54*'[2]Non-EU tax havens'!$I$8)</f>
        <v>0</v>
      </c>
      <c r="Y54" s="289"/>
      <c r="Z54" s="266"/>
      <c r="AB54" s="52"/>
      <c r="AC54" s="52">
        <f t="shared" si="19"/>
        <v>0</v>
      </c>
      <c r="AD54" s="52"/>
      <c r="AE54" s="52">
        <f t="shared" si="21"/>
        <v>0</v>
      </c>
      <c r="AF54" s="52"/>
      <c r="AG54" s="49">
        <f t="shared" si="40"/>
        <v>0</v>
      </c>
      <c r="AH54" s="52">
        <f t="shared" si="37"/>
        <v>0</v>
      </c>
      <c r="AI54" s="52">
        <f t="shared" si="42"/>
        <v>0</v>
      </c>
      <c r="AJ54" s="52">
        <f t="shared" si="28"/>
        <v>0</v>
      </c>
      <c r="AK54" s="52"/>
      <c r="AM54" s="52"/>
      <c r="AN54" s="52">
        <f t="shared" si="22"/>
        <v>0</v>
      </c>
      <c r="AO54" s="52"/>
      <c r="AP54" s="52">
        <f t="shared" si="24"/>
        <v>0</v>
      </c>
      <c r="AQ54" s="52"/>
      <c r="AR54" s="52">
        <f t="shared" si="27"/>
        <v>0</v>
      </c>
      <c r="AS54" s="52"/>
      <c r="AT54" s="52">
        <f t="shared" si="41"/>
        <v>0</v>
      </c>
    </row>
    <row r="55" spans="2:46" ht="14" hidden="1" customHeight="1" x14ac:dyDescent="0.35">
      <c r="C55" s="297" t="str">
        <f>+[3]TableA1!A56</f>
        <v>Antigua and Barbuda</v>
      </c>
      <c r="D55" s="294"/>
      <c r="E55" s="293"/>
      <c r="F55" s="292"/>
      <c r="G55" s="292"/>
      <c r="H55" s="292"/>
      <c r="I55" s="290"/>
      <c r="J55" s="290"/>
      <c r="K55" s="290"/>
      <c r="L55" s="296"/>
      <c r="M55" s="290"/>
      <c r="N55" s="295"/>
      <c r="O55" s="294"/>
      <c r="P55" s="293"/>
      <c r="Q55" s="292"/>
      <c r="R55" s="292"/>
      <c r="S55" s="292"/>
      <c r="T55" s="290"/>
      <c r="U55" s="290"/>
      <c r="V55" s="290"/>
      <c r="W55" s="296"/>
      <c r="X55" s="290">
        <f>IFERROR(IFERROR(VLOOKUP(C55,'[2]Swiss pivot'!$E$3:$H$54,4,0),VLOOKUP($C55,'[2]Breakdown non-EU havens'!$F$59:$H$86,3,0)/$E$106),AJ55*'[2]Non-EU tax havens'!$I$8)</f>
        <v>0</v>
      </c>
      <c r="Y55" s="289"/>
      <c r="Z55" s="266"/>
      <c r="AB55" s="52"/>
      <c r="AC55" s="52">
        <f t="shared" si="19"/>
        <v>0</v>
      </c>
      <c r="AD55" s="52"/>
      <c r="AE55" s="52">
        <f t="shared" si="21"/>
        <v>0</v>
      </c>
      <c r="AF55" s="52"/>
      <c r="AG55" s="49">
        <f t="shared" si="40"/>
        <v>0</v>
      </c>
      <c r="AH55" s="52">
        <f t="shared" si="37"/>
        <v>0</v>
      </c>
      <c r="AI55" s="52">
        <f t="shared" si="42"/>
        <v>0</v>
      </c>
      <c r="AJ55" s="52">
        <f t="shared" si="28"/>
        <v>0</v>
      </c>
      <c r="AK55" s="52"/>
      <c r="AM55" s="52"/>
      <c r="AN55" s="52">
        <f t="shared" si="22"/>
        <v>0</v>
      </c>
      <c r="AO55" s="52"/>
      <c r="AP55" s="52">
        <f t="shared" si="24"/>
        <v>0</v>
      </c>
      <c r="AQ55" s="52"/>
      <c r="AR55" s="52">
        <f t="shared" si="27"/>
        <v>0</v>
      </c>
      <c r="AS55" s="52"/>
      <c r="AT55" s="52">
        <f t="shared" si="41"/>
        <v>0</v>
      </c>
    </row>
    <row r="56" spans="2:46" ht="14" hidden="1" customHeight="1" x14ac:dyDescent="0.35">
      <c r="C56" s="297" t="s">
        <v>81</v>
      </c>
      <c r="D56" s="294"/>
      <c r="E56" s="293"/>
      <c r="F56" s="292"/>
      <c r="G56" s="292"/>
      <c r="H56" s="292"/>
      <c r="I56" s="290"/>
      <c r="J56" s="290"/>
      <c r="K56" s="290"/>
      <c r="L56" s="296"/>
      <c r="M56" s="290"/>
      <c r="N56" s="295"/>
      <c r="O56" s="294"/>
      <c r="P56" s="293"/>
      <c r="Q56" s="292"/>
      <c r="R56" s="292"/>
      <c r="S56" s="292"/>
      <c r="T56" s="290"/>
      <c r="U56" s="290"/>
      <c r="V56" s="290"/>
      <c r="W56" s="296"/>
      <c r="X56" s="290">
        <f>IFERROR(IFERROR(VLOOKUP(C56,'[2]Swiss pivot'!$E$3:$H$54,4,0),VLOOKUP($C56,'[2]Breakdown non-EU havens'!$F$59:$H$86,3,0)/$E$106),AJ56*'[2]Non-EU tax havens'!$I$8)</f>
        <v>0</v>
      </c>
      <c r="Y56" s="289"/>
      <c r="Z56" s="266"/>
      <c r="AB56" s="52"/>
      <c r="AC56" s="52">
        <f t="shared" si="19"/>
        <v>0</v>
      </c>
      <c r="AD56" s="52"/>
      <c r="AE56" s="52">
        <f t="shared" si="21"/>
        <v>0</v>
      </c>
      <c r="AF56" s="52"/>
      <c r="AG56" s="49">
        <f t="shared" si="40"/>
        <v>0</v>
      </c>
      <c r="AH56" s="52">
        <f t="shared" si="37"/>
        <v>0</v>
      </c>
      <c r="AI56" s="52">
        <f t="shared" si="42"/>
        <v>0</v>
      </c>
      <c r="AJ56" s="52">
        <f t="shared" si="28"/>
        <v>0</v>
      </c>
      <c r="AK56" s="52"/>
      <c r="AM56" s="52"/>
      <c r="AN56" s="52">
        <f t="shared" si="22"/>
        <v>0</v>
      </c>
      <c r="AO56" s="52"/>
      <c r="AP56" s="52">
        <f t="shared" si="24"/>
        <v>0</v>
      </c>
      <c r="AQ56" s="52"/>
      <c r="AR56" s="52">
        <f t="shared" si="27"/>
        <v>0</v>
      </c>
      <c r="AS56" s="52"/>
      <c r="AT56" s="52">
        <f t="shared" si="41"/>
        <v>0</v>
      </c>
    </row>
    <row r="57" spans="2:46" ht="14" hidden="1" customHeight="1" x14ac:dyDescent="0.35">
      <c r="C57" s="297" t="s">
        <v>83</v>
      </c>
      <c r="D57" s="294"/>
      <c r="E57" s="293"/>
      <c r="F57" s="292"/>
      <c r="G57" s="292"/>
      <c r="H57" s="292"/>
      <c r="I57" s="290"/>
      <c r="J57" s="290"/>
      <c r="K57" s="290"/>
      <c r="L57" s="296"/>
      <c r="M57" s="290"/>
      <c r="N57" s="295"/>
      <c r="O57" s="294"/>
      <c r="P57" s="293"/>
      <c r="Q57" s="292"/>
      <c r="R57" s="292"/>
      <c r="S57" s="292"/>
      <c r="T57" s="290"/>
      <c r="U57" s="290"/>
      <c r="V57" s="290"/>
      <c r="W57" s="296"/>
      <c r="X57" s="290">
        <f>IFERROR(IFERROR(VLOOKUP(C57,'[2]Swiss pivot'!$E$3:$H$54,4,0),VLOOKUP($C57,'[2]Breakdown non-EU havens'!$F$59:$H$86,3,0)/$E$106),AJ57*'[2]Non-EU tax havens'!$I$8)</f>
        <v>0</v>
      </c>
      <c r="Y57" s="289"/>
      <c r="Z57" s="266"/>
      <c r="AB57" s="52"/>
      <c r="AC57" s="52">
        <f t="shared" si="19"/>
        <v>0</v>
      </c>
      <c r="AD57" s="52"/>
      <c r="AE57" s="52">
        <f t="shared" si="21"/>
        <v>0</v>
      </c>
      <c r="AF57" s="52"/>
      <c r="AG57" s="49">
        <f t="shared" si="40"/>
        <v>0</v>
      </c>
      <c r="AH57" s="52">
        <f t="shared" si="37"/>
        <v>0</v>
      </c>
      <c r="AI57" s="52">
        <f t="shared" si="42"/>
        <v>0</v>
      </c>
      <c r="AJ57" s="52">
        <f t="shared" si="28"/>
        <v>0</v>
      </c>
      <c r="AK57" s="52"/>
      <c r="AM57" s="52"/>
      <c r="AN57" s="52">
        <f t="shared" si="22"/>
        <v>0</v>
      </c>
      <c r="AO57" s="52"/>
      <c r="AP57" s="52">
        <f t="shared" si="24"/>
        <v>0</v>
      </c>
      <c r="AQ57" s="52"/>
      <c r="AR57" s="52">
        <f t="shared" si="27"/>
        <v>0</v>
      </c>
      <c r="AS57" s="52"/>
      <c r="AT57" s="52">
        <f t="shared" si="41"/>
        <v>0</v>
      </c>
    </row>
    <row r="58" spans="2:46" ht="14" hidden="1" customHeight="1" x14ac:dyDescent="0.35">
      <c r="C58" s="297" t="s">
        <v>85</v>
      </c>
      <c r="D58" s="294"/>
      <c r="E58" s="293"/>
      <c r="F58" s="292"/>
      <c r="G58" s="292"/>
      <c r="H58" s="292"/>
      <c r="I58" s="290"/>
      <c r="J58" s="290"/>
      <c r="K58" s="290"/>
      <c r="L58" s="296"/>
      <c r="M58" s="290"/>
      <c r="N58" s="295"/>
      <c r="O58" s="294"/>
      <c r="P58" s="293"/>
      <c r="Q58" s="292"/>
      <c r="R58" s="292"/>
      <c r="S58" s="292"/>
      <c r="T58" s="290"/>
      <c r="U58" s="290"/>
      <c r="V58" s="290"/>
      <c r="W58" s="296"/>
      <c r="X58" s="290">
        <f>IFERROR(IFERROR(VLOOKUP(C58,'[2]Swiss pivot'!$E$3:$H$54,4,0),VLOOKUP($C58,'[2]Breakdown non-EU havens'!$F$59:$H$86,3,0)/$E$106),AJ58*'[2]Non-EU tax havens'!$I$8)</f>
        <v>0</v>
      </c>
      <c r="Y58" s="289"/>
      <c r="Z58" s="266"/>
      <c r="AB58" s="52"/>
      <c r="AC58" s="52">
        <f t="shared" si="19"/>
        <v>0</v>
      </c>
      <c r="AD58" s="52"/>
      <c r="AE58" s="52">
        <f t="shared" si="21"/>
        <v>0</v>
      </c>
      <c r="AF58" s="52"/>
      <c r="AG58" s="49">
        <f t="shared" si="40"/>
        <v>0</v>
      </c>
      <c r="AH58" s="52">
        <f t="shared" si="37"/>
        <v>0</v>
      </c>
      <c r="AI58" s="52">
        <f t="shared" si="42"/>
        <v>0</v>
      </c>
      <c r="AJ58" s="52">
        <f t="shared" si="28"/>
        <v>0</v>
      </c>
      <c r="AK58" s="52"/>
      <c r="AM58" s="52"/>
      <c r="AN58" s="52">
        <f t="shared" si="22"/>
        <v>0</v>
      </c>
      <c r="AO58" s="52"/>
      <c r="AP58" s="52">
        <f t="shared" si="24"/>
        <v>0</v>
      </c>
      <c r="AQ58" s="52"/>
      <c r="AR58" s="52">
        <f t="shared" si="27"/>
        <v>0</v>
      </c>
      <c r="AS58" s="52"/>
      <c r="AT58" s="52">
        <f t="shared" si="41"/>
        <v>0</v>
      </c>
    </row>
    <row r="59" spans="2:46" ht="14" hidden="1" customHeight="1" x14ac:dyDescent="0.35">
      <c r="C59" s="297" t="str">
        <f>+[3]TableA1!A60</f>
        <v>Barbados</v>
      </c>
      <c r="D59" s="294"/>
      <c r="E59" s="293"/>
      <c r="F59" s="292"/>
      <c r="G59" s="292"/>
      <c r="H59" s="292"/>
      <c r="I59" s="290"/>
      <c r="J59" s="290"/>
      <c r="K59" s="290"/>
      <c r="L59" s="296"/>
      <c r="M59" s="290"/>
      <c r="N59" s="295"/>
      <c r="O59" s="294"/>
      <c r="P59" s="293"/>
      <c r="Q59" s="292"/>
      <c r="R59" s="292"/>
      <c r="S59" s="292"/>
      <c r="T59" s="290"/>
      <c r="U59" s="290"/>
      <c r="V59" s="290"/>
      <c r="W59" s="296"/>
      <c r="X59" s="290">
        <f>IFERROR(IFERROR(VLOOKUP(C59,'[2]Swiss pivot'!$E$3:$H$54,4,0),VLOOKUP($C59,'[2]Breakdown non-EU havens'!$F$59:$H$86,3,0)/$E$106),AJ59*'[2]Non-EU tax havens'!$I$8)</f>
        <v>0</v>
      </c>
      <c r="Y59" s="289"/>
      <c r="Z59" s="266"/>
      <c r="AB59" s="52"/>
      <c r="AC59" s="52">
        <f t="shared" si="19"/>
        <v>0</v>
      </c>
      <c r="AD59" s="52"/>
      <c r="AE59" s="52">
        <f t="shared" si="21"/>
        <v>0</v>
      </c>
      <c r="AF59" s="52"/>
      <c r="AG59" s="49">
        <f t="shared" si="40"/>
        <v>0</v>
      </c>
      <c r="AH59" s="52">
        <f t="shared" si="37"/>
        <v>0</v>
      </c>
      <c r="AI59" s="52">
        <f t="shared" si="42"/>
        <v>0</v>
      </c>
      <c r="AJ59" s="52">
        <f t="shared" si="28"/>
        <v>0</v>
      </c>
      <c r="AK59" s="52"/>
      <c r="AM59" s="52"/>
      <c r="AN59" s="52">
        <f t="shared" si="22"/>
        <v>0</v>
      </c>
      <c r="AO59" s="52"/>
      <c r="AP59" s="52">
        <f t="shared" si="24"/>
        <v>0</v>
      </c>
      <c r="AQ59" s="52"/>
      <c r="AR59" s="52">
        <f t="shared" si="27"/>
        <v>0</v>
      </c>
      <c r="AS59" s="52"/>
      <c r="AT59" s="52">
        <f t="shared" si="41"/>
        <v>0</v>
      </c>
    </row>
    <row r="60" spans="2:46" ht="14" hidden="1" customHeight="1" x14ac:dyDescent="0.35">
      <c r="C60" s="297" t="s">
        <v>87</v>
      </c>
      <c r="D60" s="294"/>
      <c r="E60" s="293"/>
      <c r="F60" s="292"/>
      <c r="G60" s="292"/>
      <c r="H60" s="292"/>
      <c r="I60" s="290"/>
      <c r="J60" s="290"/>
      <c r="K60" s="290"/>
      <c r="L60" s="296"/>
      <c r="M60" s="290"/>
      <c r="N60" s="295"/>
      <c r="O60" s="294"/>
      <c r="P60" s="293"/>
      <c r="Q60" s="292"/>
      <c r="R60" s="292"/>
      <c r="S60" s="292"/>
      <c r="T60" s="290"/>
      <c r="U60" s="290"/>
      <c r="V60" s="290"/>
      <c r="W60" s="296"/>
      <c r="X60" s="290">
        <f>IFERROR(IFERROR(VLOOKUP(C60,'[2]Swiss pivot'!$E$3:$H$54,4,0),VLOOKUP($C60,'[2]Breakdown non-EU havens'!$F$59:$H$86,3,0)/$E$106),AJ60*'[2]Non-EU tax havens'!$I$8)</f>
        <v>0</v>
      </c>
      <c r="Y60" s="289"/>
      <c r="Z60" s="266"/>
      <c r="AB60" s="52"/>
      <c r="AC60" s="52">
        <f t="shared" si="19"/>
        <v>0</v>
      </c>
      <c r="AD60" s="52"/>
      <c r="AE60" s="52">
        <f t="shared" si="21"/>
        <v>0</v>
      </c>
      <c r="AF60" s="52"/>
      <c r="AG60" s="49">
        <f t="shared" si="40"/>
        <v>0</v>
      </c>
      <c r="AH60" s="52">
        <f t="shared" si="37"/>
        <v>0</v>
      </c>
      <c r="AI60" s="52">
        <f t="shared" si="42"/>
        <v>0</v>
      </c>
      <c r="AJ60" s="52">
        <f t="shared" si="28"/>
        <v>0</v>
      </c>
      <c r="AK60" s="52"/>
      <c r="AM60" s="52"/>
      <c r="AN60" s="52">
        <f t="shared" si="22"/>
        <v>0</v>
      </c>
      <c r="AO60" s="52"/>
      <c r="AP60" s="52">
        <f t="shared" si="24"/>
        <v>0</v>
      </c>
      <c r="AQ60" s="52"/>
      <c r="AR60" s="52">
        <f t="shared" si="27"/>
        <v>0</v>
      </c>
      <c r="AS60" s="52"/>
      <c r="AT60" s="52">
        <f t="shared" si="41"/>
        <v>0</v>
      </c>
    </row>
    <row r="61" spans="2:46" ht="14" hidden="1" customHeight="1" x14ac:dyDescent="0.35">
      <c r="C61" s="297" t="s">
        <v>88</v>
      </c>
      <c r="D61" s="294"/>
      <c r="E61" s="293"/>
      <c r="F61" s="292"/>
      <c r="G61" s="292"/>
      <c r="H61" s="292"/>
      <c r="I61" s="290"/>
      <c r="J61" s="290"/>
      <c r="K61" s="290"/>
      <c r="L61" s="296"/>
      <c r="M61" s="290"/>
      <c r="N61" s="295"/>
      <c r="O61" s="294"/>
      <c r="P61" s="293"/>
      <c r="Q61" s="292"/>
      <c r="R61" s="292"/>
      <c r="S61" s="292"/>
      <c r="T61" s="290"/>
      <c r="U61" s="290"/>
      <c r="V61" s="290"/>
      <c r="W61" s="296"/>
      <c r="X61" s="290">
        <f>IFERROR(IFERROR(VLOOKUP(C61,'[2]Swiss pivot'!$E$3:$H$54,4,0),VLOOKUP($C61,'[2]Breakdown non-EU havens'!$F$59:$H$86,3,0)/$E$106),AJ61*'[2]Non-EU tax havens'!$I$8)</f>
        <v>0</v>
      </c>
      <c r="Y61" s="289"/>
      <c r="Z61" s="266"/>
      <c r="AB61" s="52"/>
      <c r="AC61" s="52">
        <f t="shared" si="19"/>
        <v>0</v>
      </c>
      <c r="AD61" s="52"/>
      <c r="AE61" s="52">
        <f t="shared" si="21"/>
        <v>0</v>
      </c>
      <c r="AF61" s="52"/>
      <c r="AG61" s="49">
        <f t="shared" si="40"/>
        <v>0</v>
      </c>
      <c r="AH61" s="52">
        <f t="shared" si="37"/>
        <v>0</v>
      </c>
      <c r="AI61" s="52">
        <f t="shared" si="42"/>
        <v>0</v>
      </c>
      <c r="AJ61" s="52">
        <f t="shared" si="28"/>
        <v>0</v>
      </c>
      <c r="AK61" s="52"/>
      <c r="AM61" s="52"/>
      <c r="AN61" s="52">
        <f t="shared" si="22"/>
        <v>0</v>
      </c>
      <c r="AO61" s="52"/>
      <c r="AP61" s="52">
        <f t="shared" si="24"/>
        <v>0</v>
      </c>
      <c r="AQ61" s="52"/>
      <c r="AR61" s="52">
        <f t="shared" si="27"/>
        <v>0</v>
      </c>
      <c r="AS61" s="52"/>
      <c r="AT61" s="52">
        <f t="shared" si="41"/>
        <v>0</v>
      </c>
    </row>
    <row r="62" spans="2:46" ht="14" hidden="1" customHeight="1" x14ac:dyDescent="0.35">
      <c r="C62" s="297" t="s">
        <v>90</v>
      </c>
      <c r="D62" s="294"/>
      <c r="E62" s="293"/>
      <c r="F62" s="292"/>
      <c r="G62" s="292"/>
      <c r="H62" s="292"/>
      <c r="I62" s="290"/>
      <c r="J62" s="290"/>
      <c r="K62" s="290"/>
      <c r="L62" s="296"/>
      <c r="M62" s="290"/>
      <c r="N62" s="295"/>
      <c r="O62" s="294"/>
      <c r="P62" s="293"/>
      <c r="Q62" s="292"/>
      <c r="R62" s="292"/>
      <c r="S62" s="292"/>
      <c r="T62" s="290"/>
      <c r="U62" s="290"/>
      <c r="V62" s="290"/>
      <c r="W62" s="296"/>
      <c r="X62" s="290">
        <f>IFERROR(IFERROR(VLOOKUP(C62,'[2]Swiss pivot'!$E$3:$H$54,4,0),VLOOKUP($C62,'[2]Breakdown non-EU havens'!$F$59:$H$86,3,0)/$E$106),AJ62*'[2]Non-EU tax havens'!$I$8)</f>
        <v>0</v>
      </c>
      <c r="Y62" s="289"/>
      <c r="Z62" s="266"/>
      <c r="AB62" s="52"/>
      <c r="AC62" s="52">
        <f t="shared" si="19"/>
        <v>0</v>
      </c>
      <c r="AD62" s="52"/>
      <c r="AE62" s="52">
        <f t="shared" si="21"/>
        <v>0</v>
      </c>
      <c r="AF62" s="52"/>
      <c r="AG62" s="49">
        <f t="shared" si="40"/>
        <v>0</v>
      </c>
      <c r="AH62" s="52">
        <f t="shared" si="37"/>
        <v>0</v>
      </c>
      <c r="AI62" s="52">
        <f t="shared" si="42"/>
        <v>0</v>
      </c>
      <c r="AJ62" s="52">
        <f t="shared" si="28"/>
        <v>0</v>
      </c>
      <c r="AK62" s="52"/>
      <c r="AM62" s="52"/>
      <c r="AN62" s="52">
        <f t="shared" si="22"/>
        <v>0</v>
      </c>
      <c r="AO62" s="52"/>
      <c r="AP62" s="52">
        <f t="shared" si="24"/>
        <v>0</v>
      </c>
      <c r="AQ62" s="52"/>
      <c r="AR62" s="52">
        <f t="shared" si="27"/>
        <v>0</v>
      </c>
      <c r="AS62" s="52"/>
      <c r="AT62" s="52">
        <f t="shared" si="41"/>
        <v>0</v>
      </c>
    </row>
    <row r="63" spans="2:46" ht="14" hidden="1" customHeight="1" x14ac:dyDescent="0.35">
      <c r="C63" s="297" t="s">
        <v>329</v>
      </c>
      <c r="D63" s="294"/>
      <c r="E63" s="293"/>
      <c r="F63" s="292"/>
      <c r="G63" s="292"/>
      <c r="H63" s="292"/>
      <c r="I63" s="290"/>
      <c r="J63" s="290"/>
      <c r="K63" s="290"/>
      <c r="L63" s="296"/>
      <c r="M63" s="290"/>
      <c r="N63" s="295"/>
      <c r="O63" s="294"/>
      <c r="P63" s="293"/>
      <c r="Q63" s="292"/>
      <c r="R63" s="292"/>
      <c r="S63" s="292"/>
      <c r="T63" s="290"/>
      <c r="U63" s="290"/>
      <c r="V63" s="290"/>
      <c r="W63" s="296"/>
      <c r="X63" s="290">
        <f>IFERROR(IFERROR(VLOOKUP(C63,'[2]Swiss pivot'!$E$3:$H$54,4,0),VLOOKUP($C63,'[2]Breakdown non-EU havens'!$F$59:$H$86,3,0)/$E$106),AJ63*'[2]Non-EU tax havens'!$I$8)</f>
        <v>0</v>
      </c>
      <c r="Y63" s="289"/>
      <c r="Z63" s="266"/>
      <c r="AB63" s="52"/>
      <c r="AC63" s="52">
        <f t="shared" si="19"/>
        <v>0</v>
      </c>
      <c r="AD63" s="52"/>
      <c r="AE63" s="52">
        <f t="shared" si="21"/>
        <v>0</v>
      </c>
      <c r="AF63" s="52"/>
      <c r="AG63" s="49">
        <f t="shared" si="40"/>
        <v>0</v>
      </c>
      <c r="AH63" s="52">
        <f t="shared" si="37"/>
        <v>0</v>
      </c>
      <c r="AI63" s="52">
        <f t="shared" si="42"/>
        <v>0</v>
      </c>
      <c r="AJ63" s="52">
        <f t="shared" si="28"/>
        <v>0</v>
      </c>
      <c r="AK63" s="52"/>
      <c r="AM63" s="52"/>
      <c r="AN63" s="52">
        <f t="shared" si="22"/>
        <v>0</v>
      </c>
      <c r="AO63" s="52"/>
      <c r="AP63" s="52">
        <f t="shared" si="24"/>
        <v>0</v>
      </c>
      <c r="AQ63" s="52"/>
      <c r="AR63" s="52">
        <f t="shared" si="27"/>
        <v>0</v>
      </c>
      <c r="AS63" s="52"/>
      <c r="AT63" s="52">
        <f t="shared" si="41"/>
        <v>0</v>
      </c>
    </row>
    <row r="64" spans="2:46" ht="14" hidden="1" customHeight="1" x14ac:dyDescent="0.35">
      <c r="C64" s="301" t="s">
        <v>93</v>
      </c>
      <c r="D64" s="300"/>
      <c r="E64" s="293"/>
      <c r="F64" s="292"/>
      <c r="G64" s="292"/>
      <c r="H64" s="292"/>
      <c r="I64" s="290"/>
      <c r="J64" s="290"/>
      <c r="K64" s="290"/>
      <c r="L64" s="296"/>
      <c r="M64" s="290"/>
      <c r="N64" s="295"/>
      <c r="O64" s="300"/>
      <c r="P64" s="293"/>
      <c r="Q64" s="292"/>
      <c r="R64" s="292"/>
      <c r="S64" s="292"/>
      <c r="T64" s="290"/>
      <c r="U64" s="290"/>
      <c r="V64" s="290"/>
      <c r="W64" s="296"/>
      <c r="X64" s="290">
        <f>IFERROR(IFERROR(VLOOKUP(C64,'[2]Swiss pivot'!$E$3:$H$54,4,0),VLOOKUP($C64,'[2]Breakdown non-EU havens'!$F$59:$H$86,3,0)/$E$106),AJ64*'[2]Non-EU tax havens'!$I$8)</f>
        <v>0</v>
      </c>
      <c r="Y64" s="289"/>
      <c r="Z64" s="266"/>
      <c r="AB64" s="52"/>
      <c r="AC64" s="52">
        <f t="shared" ref="AC64:AC88" si="43">+AB64/$AB$104</f>
        <v>0</v>
      </c>
      <c r="AD64" s="52"/>
      <c r="AE64" s="52">
        <f t="shared" ref="AE64:AE88" si="44">+AD64/$AD$104</f>
        <v>0</v>
      </c>
      <c r="AF64" s="52"/>
      <c r="AG64" s="49">
        <f t="shared" si="40"/>
        <v>0</v>
      </c>
      <c r="AH64" s="52">
        <f t="shared" si="37"/>
        <v>0</v>
      </c>
      <c r="AI64" s="52">
        <f t="shared" si="42"/>
        <v>0</v>
      </c>
      <c r="AJ64" s="52">
        <f t="shared" si="28"/>
        <v>0</v>
      </c>
      <c r="AK64" s="52"/>
      <c r="AM64" s="52"/>
      <c r="AN64" s="52">
        <f t="shared" ref="AN64:AN88" si="45">+AM64/$AB$104</f>
        <v>0</v>
      </c>
      <c r="AO64" s="52"/>
      <c r="AP64" s="52">
        <f t="shared" ref="AP64:AP88" si="46">+AO64/$AD$104</f>
        <v>0</v>
      </c>
      <c r="AQ64" s="52"/>
      <c r="AR64" s="52">
        <f t="shared" si="27"/>
        <v>0</v>
      </c>
      <c r="AS64" s="52"/>
      <c r="AT64" s="52">
        <f t="shared" si="41"/>
        <v>0</v>
      </c>
    </row>
    <row r="65" spans="3:46" ht="14" hidden="1" customHeight="1" x14ac:dyDescent="0.35">
      <c r="C65" s="297" t="s">
        <v>95</v>
      </c>
      <c r="D65" s="294"/>
      <c r="E65" s="293"/>
      <c r="F65" s="292"/>
      <c r="G65" s="292"/>
      <c r="H65" s="292"/>
      <c r="I65" s="290"/>
      <c r="J65" s="290"/>
      <c r="K65" s="290"/>
      <c r="L65" s="296"/>
      <c r="M65" s="290"/>
      <c r="N65" s="295"/>
      <c r="O65" s="294"/>
      <c r="P65" s="293"/>
      <c r="Q65" s="292"/>
      <c r="R65" s="292"/>
      <c r="S65" s="292"/>
      <c r="T65" s="290"/>
      <c r="U65" s="290"/>
      <c r="V65" s="290"/>
      <c r="W65" s="296"/>
      <c r="X65" s="290">
        <f>IFERROR(IFERROR(VLOOKUP(C65,'[2]Swiss pivot'!$E$3:$H$54,4,0),VLOOKUP($C65,'[2]Breakdown non-EU havens'!$F$59:$H$86,3,0)/$E$106),AJ65*'[2]Non-EU tax havens'!$I$8)</f>
        <v>0</v>
      </c>
      <c r="Y65" s="289"/>
      <c r="Z65" s="266"/>
      <c r="AB65" s="52"/>
      <c r="AC65" s="52">
        <f t="shared" si="43"/>
        <v>0</v>
      </c>
      <c r="AD65" s="52"/>
      <c r="AE65" s="52">
        <f t="shared" si="44"/>
        <v>0</v>
      </c>
      <c r="AF65" s="52"/>
      <c r="AG65" s="49">
        <f t="shared" si="40"/>
        <v>0</v>
      </c>
      <c r="AH65" s="52">
        <f t="shared" si="37"/>
        <v>0</v>
      </c>
      <c r="AI65" s="52">
        <f t="shared" si="42"/>
        <v>0</v>
      </c>
      <c r="AJ65" s="52">
        <f t="shared" si="28"/>
        <v>0</v>
      </c>
      <c r="AK65" s="52"/>
      <c r="AM65" s="52"/>
      <c r="AN65" s="52">
        <f t="shared" si="45"/>
        <v>0</v>
      </c>
      <c r="AO65" s="52"/>
      <c r="AP65" s="52">
        <f t="shared" si="46"/>
        <v>0</v>
      </c>
      <c r="AQ65" s="52"/>
      <c r="AR65" s="52">
        <f t="shared" si="27"/>
        <v>0</v>
      </c>
      <c r="AS65" s="52"/>
      <c r="AT65" s="52">
        <f t="shared" si="41"/>
        <v>0</v>
      </c>
    </row>
    <row r="66" spans="3:46" ht="14" hidden="1" customHeight="1" x14ac:dyDescent="0.35">
      <c r="C66" s="297" t="str">
        <f>+[3]TableA1!A67</f>
        <v>Cyprus</v>
      </c>
      <c r="D66" s="294"/>
      <c r="E66" s="293"/>
      <c r="F66" s="292"/>
      <c r="G66" s="292"/>
      <c r="H66" s="292"/>
      <c r="I66" s="290"/>
      <c r="J66" s="290"/>
      <c r="K66" s="290"/>
      <c r="L66" s="296"/>
      <c r="M66" s="290"/>
      <c r="N66" s="295"/>
      <c r="O66" s="294"/>
      <c r="P66" s="293"/>
      <c r="Q66" s="292"/>
      <c r="R66" s="292"/>
      <c r="S66" s="292"/>
      <c r="T66" s="290"/>
      <c r="U66" s="290"/>
      <c r="V66" s="290"/>
      <c r="W66" s="296"/>
      <c r="X66" s="290">
        <f>IFERROR(IFERROR(VLOOKUP(C66,'[2]Swiss pivot'!$E$3:$H$54,4,0),VLOOKUP($C66,'[2]Breakdown non-EU havens'!$F$59:$H$86,3,0)/$E$106),AJ66*'[2]Non-EU tax havens'!$I$8)</f>
        <v>85.573410932853633</v>
      </c>
      <c r="Y66" s="289"/>
      <c r="Z66" s="266"/>
      <c r="AB66" s="52"/>
      <c r="AC66" s="52">
        <f t="shared" si="43"/>
        <v>0</v>
      </c>
      <c r="AD66" s="52"/>
      <c r="AE66" s="52">
        <f t="shared" si="44"/>
        <v>0</v>
      </c>
      <c r="AF66" s="52"/>
      <c r="AG66" s="49">
        <f t="shared" si="40"/>
        <v>0</v>
      </c>
      <c r="AH66" s="52">
        <f t="shared" si="37"/>
        <v>0</v>
      </c>
      <c r="AI66" s="52">
        <f t="shared" si="42"/>
        <v>0</v>
      </c>
      <c r="AJ66" s="52">
        <f t="shared" si="28"/>
        <v>0</v>
      </c>
      <c r="AK66" s="52"/>
      <c r="AM66" s="52"/>
      <c r="AN66" s="52">
        <f t="shared" si="45"/>
        <v>0</v>
      </c>
      <c r="AO66" s="52"/>
      <c r="AP66" s="52">
        <f t="shared" si="46"/>
        <v>0</v>
      </c>
      <c r="AQ66" s="52"/>
      <c r="AR66" s="52">
        <f t="shared" si="27"/>
        <v>0</v>
      </c>
      <c r="AS66" s="52"/>
      <c r="AT66" s="52">
        <f t="shared" si="41"/>
        <v>0</v>
      </c>
    </row>
    <row r="67" spans="3:46" ht="14" hidden="1" customHeight="1" x14ac:dyDescent="0.35">
      <c r="C67" s="297" t="s">
        <v>97</v>
      </c>
      <c r="D67" s="294"/>
      <c r="E67" s="293"/>
      <c r="F67" s="292"/>
      <c r="G67" s="292"/>
      <c r="H67" s="292"/>
      <c r="I67" s="290"/>
      <c r="J67" s="290"/>
      <c r="K67" s="290"/>
      <c r="L67" s="296"/>
      <c r="M67" s="290"/>
      <c r="N67" s="295"/>
      <c r="O67" s="294"/>
      <c r="P67" s="293"/>
      <c r="Q67" s="292"/>
      <c r="R67" s="292"/>
      <c r="S67" s="292"/>
      <c r="T67" s="290"/>
      <c r="U67" s="290"/>
      <c r="V67" s="290"/>
      <c r="W67" s="296"/>
      <c r="X67" s="290">
        <f>IFERROR(IFERROR(VLOOKUP(C67,'[2]Swiss pivot'!$E$3:$H$54,4,0),VLOOKUP($C67,'[2]Breakdown non-EU havens'!$F$59:$H$86,3,0)/$E$106),AJ67*'[2]Non-EU tax havens'!$I$8)</f>
        <v>0</v>
      </c>
      <c r="Y67" s="289"/>
      <c r="Z67" s="266"/>
      <c r="AB67" s="52"/>
      <c r="AC67" s="52">
        <f t="shared" si="43"/>
        <v>0</v>
      </c>
      <c r="AD67" s="52"/>
      <c r="AE67" s="52">
        <f t="shared" si="44"/>
        <v>0</v>
      </c>
      <c r="AF67" s="52"/>
      <c r="AG67" s="49">
        <f t="shared" si="40"/>
        <v>0</v>
      </c>
      <c r="AH67" s="52">
        <f t="shared" si="37"/>
        <v>0</v>
      </c>
      <c r="AI67" s="52">
        <f t="shared" si="42"/>
        <v>0</v>
      </c>
      <c r="AJ67" s="52">
        <f t="shared" si="28"/>
        <v>0</v>
      </c>
      <c r="AK67" s="52"/>
      <c r="AM67" s="52"/>
      <c r="AN67" s="52">
        <f t="shared" si="45"/>
        <v>0</v>
      </c>
      <c r="AO67" s="52"/>
      <c r="AP67" s="52">
        <f t="shared" si="46"/>
        <v>0</v>
      </c>
      <c r="AQ67" s="52"/>
      <c r="AR67" s="52">
        <f t="shared" si="27"/>
        <v>0</v>
      </c>
      <c r="AS67" s="52"/>
      <c r="AT67" s="52">
        <f t="shared" si="41"/>
        <v>0</v>
      </c>
    </row>
    <row r="68" spans="3:46" ht="14" hidden="1" customHeight="1" x14ac:dyDescent="0.35">
      <c r="C68" s="297" t="str">
        <f>+[3]TableA1!A69</f>
        <v>Grenada</v>
      </c>
      <c r="D68" s="294"/>
      <c r="E68" s="293"/>
      <c r="F68" s="292"/>
      <c r="G68" s="292"/>
      <c r="H68" s="292"/>
      <c r="I68" s="290"/>
      <c r="J68" s="290"/>
      <c r="K68" s="290"/>
      <c r="L68" s="296"/>
      <c r="M68" s="290"/>
      <c r="N68" s="295"/>
      <c r="O68" s="294"/>
      <c r="P68" s="293"/>
      <c r="Q68" s="292"/>
      <c r="R68" s="292"/>
      <c r="S68" s="292"/>
      <c r="T68" s="290"/>
      <c r="U68" s="290"/>
      <c r="V68" s="290"/>
      <c r="W68" s="296"/>
      <c r="X68" s="290">
        <f>IFERROR(IFERROR(VLOOKUP(C68,'[2]Swiss pivot'!$E$3:$H$54,4,0),VLOOKUP($C68,'[2]Breakdown non-EU havens'!$F$59:$H$86,3,0)/$E$106),AJ68*'[2]Non-EU tax havens'!$I$8)</f>
        <v>0</v>
      </c>
      <c r="Y68" s="289"/>
      <c r="Z68" s="266"/>
      <c r="AB68" s="52"/>
      <c r="AC68" s="52">
        <f t="shared" si="43"/>
        <v>0</v>
      </c>
      <c r="AD68" s="52"/>
      <c r="AE68" s="52">
        <f t="shared" si="44"/>
        <v>0</v>
      </c>
      <c r="AF68" s="52"/>
      <c r="AG68" s="49">
        <f t="shared" si="40"/>
        <v>0</v>
      </c>
      <c r="AH68" s="52">
        <f t="shared" si="37"/>
        <v>0</v>
      </c>
      <c r="AI68" s="52">
        <f t="shared" si="42"/>
        <v>0</v>
      </c>
      <c r="AJ68" s="52">
        <f t="shared" si="28"/>
        <v>0</v>
      </c>
      <c r="AK68" s="52"/>
      <c r="AM68" s="52"/>
      <c r="AN68" s="52">
        <f t="shared" si="45"/>
        <v>0</v>
      </c>
      <c r="AO68" s="52"/>
      <c r="AP68" s="52">
        <f t="shared" si="46"/>
        <v>0</v>
      </c>
      <c r="AQ68" s="52"/>
      <c r="AR68" s="52">
        <f t="shared" si="27"/>
        <v>0</v>
      </c>
      <c r="AS68" s="52"/>
      <c r="AT68" s="52">
        <f t="shared" si="41"/>
        <v>0</v>
      </c>
    </row>
    <row r="69" spans="3:46" ht="14" hidden="1" customHeight="1" x14ac:dyDescent="0.35">
      <c r="C69" s="297" t="s">
        <v>99</v>
      </c>
      <c r="D69" s="294"/>
      <c r="E69" s="293"/>
      <c r="F69" s="292"/>
      <c r="G69" s="292"/>
      <c r="H69" s="292"/>
      <c r="I69" s="290"/>
      <c r="J69" s="290"/>
      <c r="K69" s="290"/>
      <c r="L69" s="296"/>
      <c r="M69" s="290"/>
      <c r="N69" s="295"/>
      <c r="O69" s="294"/>
      <c r="P69" s="293"/>
      <c r="Q69" s="292"/>
      <c r="R69" s="292"/>
      <c r="S69" s="292"/>
      <c r="T69" s="290"/>
      <c r="U69" s="290"/>
      <c r="V69" s="290"/>
      <c r="W69" s="296"/>
      <c r="X69" s="290">
        <f>IFERROR(IFERROR(VLOOKUP(C69,'[2]Swiss pivot'!$E$3:$H$54,4,0),VLOOKUP($C69,'[2]Breakdown non-EU havens'!$F$59:$H$86,3,0)/$E$106),AJ69*'[2]Non-EU tax havens'!$I$8)</f>
        <v>0</v>
      </c>
      <c r="Y69" s="289"/>
      <c r="Z69" s="266"/>
      <c r="AB69" s="52"/>
      <c r="AC69" s="52">
        <f t="shared" si="43"/>
        <v>0</v>
      </c>
      <c r="AD69" s="52"/>
      <c r="AE69" s="52">
        <f t="shared" si="44"/>
        <v>0</v>
      </c>
      <c r="AF69" s="52"/>
      <c r="AG69" s="49">
        <f t="shared" si="40"/>
        <v>0</v>
      </c>
      <c r="AH69" s="52">
        <f t="shared" si="37"/>
        <v>0</v>
      </c>
      <c r="AI69" s="52">
        <f t="shared" si="42"/>
        <v>0</v>
      </c>
      <c r="AJ69" s="52">
        <f t="shared" si="28"/>
        <v>0</v>
      </c>
      <c r="AK69" s="52"/>
      <c r="AM69" s="52"/>
      <c r="AN69" s="52">
        <f t="shared" si="45"/>
        <v>0</v>
      </c>
      <c r="AO69" s="52"/>
      <c r="AP69" s="52">
        <f t="shared" si="46"/>
        <v>0</v>
      </c>
      <c r="AQ69" s="52"/>
      <c r="AR69" s="52">
        <f t="shared" si="27"/>
        <v>0</v>
      </c>
      <c r="AS69" s="52"/>
      <c r="AT69" s="52">
        <f t="shared" si="41"/>
        <v>0</v>
      </c>
    </row>
    <row r="70" spans="3:46" ht="14" hidden="1" customHeight="1" x14ac:dyDescent="0.35">
      <c r="C70" s="297" t="s">
        <v>332</v>
      </c>
      <c r="D70" s="294"/>
      <c r="E70" s="293"/>
      <c r="F70" s="292"/>
      <c r="G70" s="292"/>
      <c r="H70" s="292"/>
      <c r="I70" s="290"/>
      <c r="J70" s="290"/>
      <c r="K70" s="290"/>
      <c r="L70" s="296"/>
      <c r="M70" s="290"/>
      <c r="N70" s="295"/>
      <c r="O70" s="294"/>
      <c r="P70" s="293"/>
      <c r="Q70" s="292"/>
      <c r="R70" s="292"/>
      <c r="S70" s="292"/>
      <c r="T70" s="290"/>
      <c r="U70" s="290"/>
      <c r="V70" s="290"/>
      <c r="W70" s="296"/>
      <c r="X70" s="290">
        <f>IFERROR(IFERROR(VLOOKUP(C70,'[2]Swiss pivot'!$E$3:$H$54,4,0),VLOOKUP($C70,'[2]Breakdown non-EU havens'!$F$59:$H$86,3,0)/$E$106),AJ70*'[2]Non-EU tax havens'!$I$8)</f>
        <v>0</v>
      </c>
      <c r="Y70" s="289"/>
      <c r="Z70" s="266"/>
      <c r="AB70" s="52"/>
      <c r="AC70" s="52">
        <f t="shared" si="43"/>
        <v>0</v>
      </c>
      <c r="AD70" s="52"/>
      <c r="AE70" s="52">
        <f t="shared" si="44"/>
        <v>0</v>
      </c>
      <c r="AF70" s="52"/>
      <c r="AG70" s="49">
        <f t="shared" si="40"/>
        <v>0</v>
      </c>
      <c r="AH70" s="52">
        <f t="shared" si="37"/>
        <v>0</v>
      </c>
      <c r="AI70" s="52">
        <f t="shared" si="42"/>
        <v>0</v>
      </c>
      <c r="AJ70" s="52">
        <f t="shared" si="28"/>
        <v>0</v>
      </c>
      <c r="AK70" s="52"/>
      <c r="AM70" s="52"/>
      <c r="AN70" s="52">
        <f t="shared" si="45"/>
        <v>0</v>
      </c>
      <c r="AO70" s="52"/>
      <c r="AP70" s="52">
        <f t="shared" si="46"/>
        <v>0</v>
      </c>
      <c r="AQ70" s="52"/>
      <c r="AR70" s="52">
        <f t="shared" si="27"/>
        <v>0</v>
      </c>
      <c r="AS70" s="52"/>
      <c r="AT70" s="52">
        <f t="shared" si="41"/>
        <v>0</v>
      </c>
    </row>
    <row r="71" spans="3:46" ht="14" hidden="1" customHeight="1" x14ac:dyDescent="0.35">
      <c r="C71" s="297" t="s">
        <v>328</v>
      </c>
      <c r="D71" s="294"/>
      <c r="E71" s="293"/>
      <c r="F71" s="292"/>
      <c r="G71" s="292"/>
      <c r="H71" s="292"/>
      <c r="I71" s="290"/>
      <c r="J71" s="290"/>
      <c r="K71" s="290"/>
      <c r="L71" s="296"/>
      <c r="M71" s="290"/>
      <c r="N71" s="295"/>
      <c r="O71" s="294"/>
      <c r="P71" s="293"/>
      <c r="Q71" s="292"/>
      <c r="R71" s="292"/>
      <c r="S71" s="292"/>
      <c r="T71" s="290"/>
      <c r="U71" s="290"/>
      <c r="V71" s="290"/>
      <c r="W71" s="296"/>
      <c r="X71" s="290">
        <f>IFERROR(IFERROR(VLOOKUP(C71,'[2]Swiss pivot'!$E$3:$H$54,4,0),VLOOKUP($C71,'[2]Breakdown non-EU havens'!$F$59:$H$86,3,0)/$E$106),AJ71*'[2]Non-EU tax havens'!$I$8)</f>
        <v>0</v>
      </c>
      <c r="Y71" s="289"/>
      <c r="Z71" s="266"/>
      <c r="AB71" s="52"/>
      <c r="AC71" s="52">
        <f t="shared" si="43"/>
        <v>0</v>
      </c>
      <c r="AD71" s="52"/>
      <c r="AE71" s="52">
        <f t="shared" si="44"/>
        <v>0</v>
      </c>
      <c r="AF71" s="52"/>
      <c r="AG71" s="49">
        <f t="shared" si="40"/>
        <v>0</v>
      </c>
      <c r="AH71" s="52">
        <f t="shared" si="37"/>
        <v>0</v>
      </c>
      <c r="AI71" s="52">
        <f t="shared" si="42"/>
        <v>0</v>
      </c>
      <c r="AJ71" s="52">
        <f t="shared" si="28"/>
        <v>0</v>
      </c>
      <c r="AK71" s="52"/>
      <c r="AM71" s="52"/>
      <c r="AN71" s="52">
        <f t="shared" si="45"/>
        <v>0</v>
      </c>
      <c r="AO71" s="52"/>
      <c r="AP71" s="52">
        <f t="shared" si="46"/>
        <v>0</v>
      </c>
      <c r="AQ71" s="52"/>
      <c r="AR71" s="52">
        <f t="shared" si="27"/>
        <v>0</v>
      </c>
      <c r="AS71" s="52"/>
      <c r="AT71" s="52">
        <f t="shared" si="41"/>
        <v>0</v>
      </c>
    </row>
    <row r="72" spans="3:46" ht="14" hidden="1" customHeight="1" x14ac:dyDescent="0.35">
      <c r="C72" s="297" t="s">
        <v>103</v>
      </c>
      <c r="D72" s="294"/>
      <c r="E72" s="293"/>
      <c r="F72" s="292"/>
      <c r="G72" s="292"/>
      <c r="H72" s="292"/>
      <c r="I72" s="290"/>
      <c r="J72" s="290"/>
      <c r="K72" s="290"/>
      <c r="L72" s="296"/>
      <c r="M72" s="290"/>
      <c r="N72" s="295"/>
      <c r="O72" s="294"/>
      <c r="P72" s="293"/>
      <c r="Q72" s="292"/>
      <c r="R72" s="292"/>
      <c r="S72" s="292"/>
      <c r="T72" s="290"/>
      <c r="U72" s="290"/>
      <c r="V72" s="290"/>
      <c r="W72" s="296"/>
      <c r="X72" s="290">
        <f>IFERROR(IFERROR(VLOOKUP(C72,'[2]Swiss pivot'!$E$3:$H$54,4,0),VLOOKUP($C72,'[2]Breakdown non-EU havens'!$F$59:$H$86,3,0)/$E$106),AJ72*'[2]Non-EU tax havens'!$I$8)</f>
        <v>0</v>
      </c>
      <c r="Y72" s="289"/>
      <c r="Z72" s="266"/>
      <c r="AB72" s="52"/>
      <c r="AC72" s="52">
        <f t="shared" si="43"/>
        <v>0</v>
      </c>
      <c r="AD72" s="52"/>
      <c r="AE72" s="52">
        <f t="shared" si="44"/>
        <v>0</v>
      </c>
      <c r="AF72" s="52"/>
      <c r="AG72" s="49">
        <f t="shared" si="40"/>
        <v>0</v>
      </c>
      <c r="AH72" s="52">
        <f t="shared" si="37"/>
        <v>0</v>
      </c>
      <c r="AI72" s="52">
        <f t="shared" si="42"/>
        <v>0</v>
      </c>
      <c r="AJ72" s="52">
        <f t="shared" si="28"/>
        <v>0</v>
      </c>
      <c r="AK72" s="52"/>
      <c r="AM72" s="52"/>
      <c r="AN72" s="52">
        <f t="shared" si="45"/>
        <v>0</v>
      </c>
      <c r="AO72" s="52"/>
      <c r="AP72" s="52">
        <f t="shared" si="46"/>
        <v>0</v>
      </c>
      <c r="AQ72" s="52"/>
      <c r="AR72" s="52">
        <f t="shared" si="27"/>
        <v>0</v>
      </c>
      <c r="AS72" s="52"/>
      <c r="AT72" s="52">
        <f t="shared" si="41"/>
        <v>0</v>
      </c>
    </row>
    <row r="73" spans="3:46" ht="14" hidden="1" customHeight="1" x14ac:dyDescent="0.35">
      <c r="C73" s="297" t="s">
        <v>104</v>
      </c>
      <c r="D73" s="294"/>
      <c r="E73" s="293"/>
      <c r="F73" s="292"/>
      <c r="G73" s="292"/>
      <c r="H73" s="292"/>
      <c r="I73" s="290"/>
      <c r="J73" s="290"/>
      <c r="K73" s="290"/>
      <c r="L73" s="296"/>
      <c r="M73" s="290"/>
      <c r="N73" s="295"/>
      <c r="O73" s="294"/>
      <c r="P73" s="293"/>
      <c r="Q73" s="292"/>
      <c r="R73" s="292"/>
      <c r="S73" s="292"/>
      <c r="T73" s="290"/>
      <c r="U73" s="290"/>
      <c r="V73" s="290"/>
      <c r="W73" s="296"/>
      <c r="X73" s="290">
        <f>IFERROR(IFERROR(VLOOKUP(C73,'[2]Swiss pivot'!$E$3:$H$54,4,0),VLOOKUP($C73,'[2]Breakdown non-EU havens'!$F$59:$H$86,3,0)/$E$106),AJ73*'[2]Non-EU tax havens'!$I$8)</f>
        <v>0</v>
      </c>
      <c r="Y73" s="289"/>
      <c r="Z73" s="266"/>
      <c r="AB73" s="52"/>
      <c r="AC73" s="52">
        <f t="shared" si="43"/>
        <v>0</v>
      </c>
      <c r="AD73" s="52"/>
      <c r="AE73" s="52">
        <f t="shared" si="44"/>
        <v>0</v>
      </c>
      <c r="AF73" s="52"/>
      <c r="AG73" s="49">
        <f t="shared" si="40"/>
        <v>0</v>
      </c>
      <c r="AH73" s="52">
        <f t="shared" si="37"/>
        <v>0</v>
      </c>
      <c r="AI73" s="52">
        <f t="shared" si="42"/>
        <v>0</v>
      </c>
      <c r="AJ73" s="52">
        <f t="shared" si="28"/>
        <v>0</v>
      </c>
      <c r="AK73" s="52"/>
      <c r="AM73" s="52"/>
      <c r="AN73" s="52">
        <f t="shared" si="45"/>
        <v>0</v>
      </c>
      <c r="AO73" s="52"/>
      <c r="AP73" s="52">
        <f t="shared" si="46"/>
        <v>0</v>
      </c>
      <c r="AQ73" s="52"/>
      <c r="AR73" s="52">
        <f t="shared" ref="AR73:AR88" si="47">+AQ73/$AQ$99</f>
        <v>0</v>
      </c>
      <c r="AS73" s="52"/>
      <c r="AT73" s="52">
        <f t="shared" si="41"/>
        <v>0</v>
      </c>
    </row>
    <row r="74" spans="3:46" ht="14" hidden="1" customHeight="1" x14ac:dyDescent="0.35">
      <c r="C74" s="297" t="s">
        <v>105</v>
      </c>
      <c r="D74" s="294"/>
      <c r="E74" s="293"/>
      <c r="F74" s="292"/>
      <c r="G74" s="292"/>
      <c r="H74" s="292"/>
      <c r="I74" s="290"/>
      <c r="J74" s="290"/>
      <c r="K74" s="290"/>
      <c r="L74" s="296"/>
      <c r="M74" s="290"/>
      <c r="N74" s="295"/>
      <c r="O74" s="294"/>
      <c r="P74" s="293"/>
      <c r="Q74" s="292"/>
      <c r="R74" s="292"/>
      <c r="S74" s="292"/>
      <c r="T74" s="290"/>
      <c r="U74" s="290"/>
      <c r="V74" s="290"/>
      <c r="W74" s="296"/>
      <c r="X74" s="290">
        <f>IFERROR(IFERROR(VLOOKUP(C74,'[2]Swiss pivot'!$E$3:$H$54,4,0),VLOOKUP($C74,'[2]Breakdown non-EU havens'!$F$59:$H$86,3,0)/$E$106),AJ74*'[2]Non-EU tax havens'!$I$8)</f>
        <v>0</v>
      </c>
      <c r="Y74" s="289"/>
      <c r="Z74" s="266"/>
      <c r="AB74" s="52"/>
      <c r="AC74" s="52">
        <f t="shared" si="43"/>
        <v>0</v>
      </c>
      <c r="AD74" s="52"/>
      <c r="AE74" s="52">
        <f t="shared" si="44"/>
        <v>0</v>
      </c>
      <c r="AF74" s="52"/>
      <c r="AG74" s="49">
        <f t="shared" si="40"/>
        <v>0</v>
      </c>
      <c r="AH74" s="52">
        <f t="shared" si="37"/>
        <v>0</v>
      </c>
      <c r="AI74" s="52">
        <f t="shared" si="42"/>
        <v>0</v>
      </c>
      <c r="AJ74" s="52">
        <f t="shared" si="28"/>
        <v>0</v>
      </c>
      <c r="AK74" s="52"/>
      <c r="AM74" s="52"/>
      <c r="AN74" s="52">
        <f t="shared" si="45"/>
        <v>0</v>
      </c>
      <c r="AO74" s="52"/>
      <c r="AP74" s="52">
        <f t="shared" si="46"/>
        <v>0</v>
      </c>
      <c r="AQ74" s="52"/>
      <c r="AR74" s="52">
        <f t="shared" si="47"/>
        <v>0</v>
      </c>
      <c r="AS74" s="52"/>
      <c r="AT74" s="52">
        <f t="shared" si="41"/>
        <v>0</v>
      </c>
    </row>
    <row r="75" spans="3:46" ht="14" hidden="1" customHeight="1" x14ac:dyDescent="0.35">
      <c r="C75" s="297" t="s">
        <v>108</v>
      </c>
      <c r="D75" s="294"/>
      <c r="E75" s="293"/>
      <c r="F75" s="292"/>
      <c r="G75" s="292"/>
      <c r="H75" s="292"/>
      <c r="I75" s="290"/>
      <c r="J75" s="290"/>
      <c r="K75" s="290"/>
      <c r="L75" s="296"/>
      <c r="M75" s="290"/>
      <c r="N75" s="295"/>
      <c r="O75" s="294"/>
      <c r="P75" s="293"/>
      <c r="Q75" s="292"/>
      <c r="R75" s="292"/>
      <c r="S75" s="292"/>
      <c r="T75" s="290"/>
      <c r="U75" s="290"/>
      <c r="V75" s="290"/>
      <c r="W75" s="296"/>
      <c r="X75" s="290">
        <f>IFERROR(IFERROR(VLOOKUP(C75,'[2]Swiss pivot'!$E$3:$H$54,4,0),VLOOKUP($C75,'[2]Breakdown non-EU havens'!$F$59:$H$86,3,0)/$E$106),AJ75*'[2]Non-EU tax havens'!$I$8)</f>
        <v>0</v>
      </c>
      <c r="Y75" s="289"/>
      <c r="Z75" s="266"/>
      <c r="AB75" s="52"/>
      <c r="AC75" s="52">
        <f t="shared" si="43"/>
        <v>0</v>
      </c>
      <c r="AD75" s="52"/>
      <c r="AE75" s="52">
        <f t="shared" si="44"/>
        <v>0</v>
      </c>
      <c r="AF75" s="52"/>
      <c r="AG75" s="49">
        <f t="shared" si="40"/>
        <v>0</v>
      </c>
      <c r="AH75" s="52">
        <f t="shared" si="37"/>
        <v>0</v>
      </c>
      <c r="AI75" s="52">
        <f t="shared" si="42"/>
        <v>0</v>
      </c>
      <c r="AJ75" s="52">
        <f t="shared" ref="AJ75:AJ88" si="48">+AI75/$AI$104</f>
        <v>0</v>
      </c>
      <c r="AK75" s="52"/>
      <c r="AM75" s="52"/>
      <c r="AN75" s="52">
        <f t="shared" si="45"/>
        <v>0</v>
      </c>
      <c r="AO75" s="52"/>
      <c r="AP75" s="52">
        <f t="shared" si="46"/>
        <v>0</v>
      </c>
      <c r="AQ75" s="52"/>
      <c r="AR75" s="52">
        <f t="shared" si="47"/>
        <v>0</v>
      </c>
      <c r="AS75" s="52"/>
      <c r="AT75" s="52">
        <f t="shared" si="41"/>
        <v>0</v>
      </c>
    </row>
    <row r="76" spans="3:46" ht="14" hidden="1" customHeight="1" x14ac:dyDescent="0.35">
      <c r="C76" s="297" t="s">
        <v>109</v>
      </c>
      <c r="D76" s="294"/>
      <c r="E76" s="293"/>
      <c r="F76" s="292"/>
      <c r="G76" s="292"/>
      <c r="H76" s="292"/>
      <c r="I76" s="290"/>
      <c r="J76" s="290"/>
      <c r="K76" s="290"/>
      <c r="L76" s="296"/>
      <c r="M76" s="290"/>
      <c r="N76" s="299"/>
      <c r="O76" s="294"/>
      <c r="P76" s="293"/>
      <c r="Q76" s="292"/>
      <c r="R76" s="292"/>
      <c r="S76" s="292"/>
      <c r="T76" s="290"/>
      <c r="U76" s="290"/>
      <c r="V76" s="290"/>
      <c r="W76" s="296"/>
      <c r="X76" s="290">
        <f>IFERROR(IFERROR(VLOOKUP(C76,'[2]Swiss pivot'!$E$3:$H$54,4,0),VLOOKUP($C76,'[2]Breakdown non-EU havens'!$F$59:$H$86,3,0)/$E$106),AJ76*'[2]Non-EU tax havens'!$I$8)</f>
        <v>109.81921069716216</v>
      </c>
      <c r="Y76" s="298"/>
      <c r="Z76" s="266"/>
      <c r="AB76" s="52"/>
      <c r="AC76" s="52">
        <f t="shared" si="43"/>
        <v>0</v>
      </c>
      <c r="AD76" s="52"/>
      <c r="AE76" s="52">
        <f t="shared" si="44"/>
        <v>0</v>
      </c>
      <c r="AF76" s="52"/>
      <c r="AG76" s="49">
        <f t="shared" si="40"/>
        <v>0</v>
      </c>
      <c r="AH76" s="52">
        <f t="shared" si="37"/>
        <v>0</v>
      </c>
      <c r="AI76" s="52">
        <f t="shared" si="42"/>
        <v>0</v>
      </c>
      <c r="AJ76" s="52">
        <f t="shared" si="48"/>
        <v>0</v>
      </c>
      <c r="AK76" s="52"/>
      <c r="AM76" s="52"/>
      <c r="AN76" s="52">
        <f t="shared" si="45"/>
        <v>0</v>
      </c>
      <c r="AO76" s="52"/>
      <c r="AP76" s="52">
        <f t="shared" si="46"/>
        <v>0</v>
      </c>
      <c r="AQ76" s="52"/>
      <c r="AR76" s="52">
        <f t="shared" si="47"/>
        <v>0</v>
      </c>
      <c r="AS76" s="52"/>
      <c r="AT76" s="52">
        <f t="shared" si="41"/>
        <v>0</v>
      </c>
    </row>
    <row r="77" spans="3:46" ht="14" hidden="1" customHeight="1" x14ac:dyDescent="0.35">
      <c r="C77" s="297" t="s">
        <v>110</v>
      </c>
      <c r="D77" s="294"/>
      <c r="E77" s="293"/>
      <c r="F77" s="292"/>
      <c r="G77" s="292"/>
      <c r="H77" s="292"/>
      <c r="I77" s="290"/>
      <c r="J77" s="290"/>
      <c r="K77" s="290"/>
      <c r="L77" s="296"/>
      <c r="M77" s="290"/>
      <c r="N77" s="295"/>
      <c r="O77" s="294"/>
      <c r="P77" s="293"/>
      <c r="Q77" s="292"/>
      <c r="R77" s="292"/>
      <c r="S77" s="292"/>
      <c r="T77" s="290"/>
      <c r="U77" s="290"/>
      <c r="V77" s="290"/>
      <c r="W77" s="296"/>
      <c r="X77" s="290">
        <f>IFERROR(IFERROR(VLOOKUP(C77,'[2]Swiss pivot'!$E$3:$H$54,4,0),VLOOKUP($C77,'[2]Breakdown non-EU havens'!$F$59:$H$86,3,0)/$E$106),AJ77*'[2]Non-EU tax havens'!$I$8)</f>
        <v>0</v>
      </c>
      <c r="Y77" s="289"/>
      <c r="Z77" s="266"/>
      <c r="AB77" s="52"/>
      <c r="AC77" s="52">
        <f t="shared" si="43"/>
        <v>0</v>
      </c>
      <c r="AD77" s="52"/>
      <c r="AE77" s="52">
        <f t="shared" si="44"/>
        <v>0</v>
      </c>
      <c r="AF77" s="52"/>
      <c r="AG77" s="49">
        <f t="shared" si="40"/>
        <v>0</v>
      </c>
      <c r="AH77" s="52">
        <f t="shared" si="37"/>
        <v>0</v>
      </c>
      <c r="AI77" s="52">
        <f t="shared" si="42"/>
        <v>0</v>
      </c>
      <c r="AJ77" s="52">
        <f t="shared" si="48"/>
        <v>0</v>
      </c>
      <c r="AK77" s="52"/>
      <c r="AM77" s="52"/>
      <c r="AN77" s="52">
        <f t="shared" si="45"/>
        <v>0</v>
      </c>
      <c r="AO77" s="52"/>
      <c r="AP77" s="52">
        <f t="shared" si="46"/>
        <v>0</v>
      </c>
      <c r="AQ77" s="52"/>
      <c r="AR77" s="52">
        <f t="shared" si="47"/>
        <v>0</v>
      </c>
      <c r="AS77" s="52"/>
      <c r="AT77" s="52">
        <f t="shared" si="41"/>
        <v>0</v>
      </c>
    </row>
    <row r="78" spans="3:46" ht="14" hidden="1" customHeight="1" x14ac:dyDescent="0.35">
      <c r="C78" s="297" t="str">
        <f>+[3]TableA1!A79</f>
        <v>Monaco</v>
      </c>
      <c r="D78" s="294"/>
      <c r="E78" s="293"/>
      <c r="F78" s="292"/>
      <c r="G78" s="292"/>
      <c r="H78" s="292"/>
      <c r="I78" s="290"/>
      <c r="J78" s="290"/>
      <c r="K78" s="290"/>
      <c r="L78" s="296"/>
      <c r="M78" s="290"/>
      <c r="N78" s="295"/>
      <c r="O78" s="294"/>
      <c r="P78" s="293"/>
      <c r="Q78" s="292"/>
      <c r="R78" s="292"/>
      <c r="S78" s="292"/>
      <c r="T78" s="290"/>
      <c r="U78" s="290"/>
      <c r="V78" s="290"/>
      <c r="W78" s="296"/>
      <c r="X78" s="290">
        <f>IFERROR(IFERROR(VLOOKUP(C78,'[2]Swiss pivot'!$E$3:$H$54,4,0),VLOOKUP($C78,'[2]Breakdown non-EU havens'!$F$59:$H$86,3,0)/$E$106),AJ78*'[2]Non-EU tax havens'!$I$8)</f>
        <v>0</v>
      </c>
      <c r="Y78" s="289"/>
      <c r="Z78" s="266"/>
      <c r="AB78" s="52"/>
      <c r="AC78" s="52">
        <f t="shared" si="43"/>
        <v>0</v>
      </c>
      <c r="AD78" s="52"/>
      <c r="AE78" s="52">
        <f t="shared" si="44"/>
        <v>0</v>
      </c>
      <c r="AF78" s="52"/>
      <c r="AG78" s="49">
        <f t="shared" si="40"/>
        <v>0</v>
      </c>
      <c r="AH78" s="52">
        <f t="shared" si="37"/>
        <v>0</v>
      </c>
      <c r="AI78" s="52">
        <f t="shared" si="42"/>
        <v>0</v>
      </c>
      <c r="AJ78" s="52">
        <f t="shared" si="48"/>
        <v>0</v>
      </c>
      <c r="AK78" s="52"/>
      <c r="AM78" s="52"/>
      <c r="AN78" s="52">
        <f t="shared" si="45"/>
        <v>0</v>
      </c>
      <c r="AO78" s="52"/>
      <c r="AP78" s="52">
        <f t="shared" si="46"/>
        <v>0</v>
      </c>
      <c r="AQ78" s="52"/>
      <c r="AR78" s="52">
        <f t="shared" si="47"/>
        <v>0</v>
      </c>
      <c r="AS78" s="52"/>
      <c r="AT78" s="52">
        <f t="shared" si="41"/>
        <v>0</v>
      </c>
    </row>
    <row r="79" spans="3:46" ht="14" hidden="1" customHeight="1" x14ac:dyDescent="0.35">
      <c r="C79" s="297" t="s">
        <v>113</v>
      </c>
      <c r="D79" s="294"/>
      <c r="E79" s="293"/>
      <c r="F79" s="292"/>
      <c r="G79" s="292"/>
      <c r="H79" s="292"/>
      <c r="I79" s="290"/>
      <c r="J79" s="290"/>
      <c r="K79" s="290"/>
      <c r="L79" s="296"/>
      <c r="M79" s="290"/>
      <c r="N79" s="295"/>
      <c r="O79" s="294"/>
      <c r="P79" s="293"/>
      <c r="Q79" s="292"/>
      <c r="R79" s="292"/>
      <c r="S79" s="292"/>
      <c r="T79" s="290"/>
      <c r="U79" s="290"/>
      <c r="V79" s="290"/>
      <c r="W79" s="296"/>
      <c r="X79" s="290">
        <f>IFERROR(IFERROR(VLOOKUP(C79,'[2]Swiss pivot'!$E$3:$H$54,4,0),VLOOKUP($C79,'[2]Breakdown non-EU havens'!$F$59:$H$86,3,0)/$E$106),AJ79*'[2]Non-EU tax havens'!$I$8)</f>
        <v>0</v>
      </c>
      <c r="Y79" s="289"/>
      <c r="Z79" s="266"/>
      <c r="AB79" s="52"/>
      <c r="AC79" s="52">
        <f t="shared" si="43"/>
        <v>0</v>
      </c>
      <c r="AD79" s="52"/>
      <c r="AE79" s="52">
        <f t="shared" si="44"/>
        <v>0</v>
      </c>
      <c r="AF79" s="52"/>
      <c r="AG79" s="49">
        <f t="shared" si="40"/>
        <v>0</v>
      </c>
      <c r="AH79" s="52">
        <f t="shared" si="37"/>
        <v>0</v>
      </c>
      <c r="AI79" s="52">
        <f t="shared" si="42"/>
        <v>0</v>
      </c>
      <c r="AJ79" s="52">
        <f t="shared" si="48"/>
        <v>0</v>
      </c>
      <c r="AK79" s="52"/>
      <c r="AM79" s="52"/>
      <c r="AN79" s="52">
        <f t="shared" si="45"/>
        <v>0</v>
      </c>
      <c r="AO79" s="52"/>
      <c r="AP79" s="52">
        <f t="shared" si="46"/>
        <v>0</v>
      </c>
      <c r="AQ79" s="52"/>
      <c r="AR79" s="52">
        <f t="shared" si="47"/>
        <v>0</v>
      </c>
      <c r="AS79" s="52"/>
      <c r="AT79" s="52">
        <f t="shared" si="41"/>
        <v>0</v>
      </c>
    </row>
    <row r="80" spans="3:46" ht="14" hidden="1" customHeight="1" x14ac:dyDescent="0.35">
      <c r="C80" s="297" t="s">
        <v>114</v>
      </c>
      <c r="D80" s="294"/>
      <c r="E80" s="293"/>
      <c r="F80" s="292"/>
      <c r="G80" s="292"/>
      <c r="H80" s="292"/>
      <c r="I80" s="290"/>
      <c r="J80" s="290"/>
      <c r="K80" s="290"/>
      <c r="L80" s="296"/>
      <c r="M80" s="290"/>
      <c r="N80" s="295"/>
      <c r="O80" s="294"/>
      <c r="P80" s="293"/>
      <c r="Q80" s="292"/>
      <c r="R80" s="292"/>
      <c r="S80" s="292"/>
      <c r="T80" s="290"/>
      <c r="U80" s="290"/>
      <c r="V80" s="290"/>
      <c r="W80" s="296"/>
      <c r="X80" s="290">
        <f>IFERROR(IFERROR(VLOOKUP(C80,'[2]Swiss pivot'!$E$3:$H$54,4,0),VLOOKUP($C80,'[2]Breakdown non-EU havens'!$F$59:$H$86,3,0)/$E$106),AJ80*'[2]Non-EU tax havens'!$I$8)</f>
        <v>0</v>
      </c>
      <c r="Y80" s="289"/>
      <c r="Z80" s="266"/>
      <c r="AB80" s="52"/>
      <c r="AC80" s="52">
        <f t="shared" si="43"/>
        <v>0</v>
      </c>
      <c r="AD80" s="52"/>
      <c r="AE80" s="52">
        <f t="shared" si="44"/>
        <v>0</v>
      </c>
      <c r="AF80" s="52"/>
      <c r="AG80" s="49">
        <f>+'[2]CDIS Table-4'!U77</f>
        <v>0</v>
      </c>
      <c r="AH80" s="52">
        <f t="shared" si="37"/>
        <v>0</v>
      </c>
      <c r="AI80" s="52">
        <f t="shared" si="42"/>
        <v>0</v>
      </c>
      <c r="AJ80" s="52">
        <f t="shared" si="48"/>
        <v>0</v>
      </c>
      <c r="AK80" s="52"/>
      <c r="AM80" s="52"/>
      <c r="AN80" s="52">
        <f t="shared" si="45"/>
        <v>0</v>
      </c>
      <c r="AO80" s="52"/>
      <c r="AP80" s="52">
        <f t="shared" si="46"/>
        <v>0</v>
      </c>
      <c r="AQ80" s="52"/>
      <c r="AR80" s="52">
        <f t="shared" si="47"/>
        <v>0</v>
      </c>
      <c r="AS80" s="52"/>
      <c r="AT80" s="52">
        <f t="shared" si="41"/>
        <v>0</v>
      </c>
    </row>
    <row r="81" spans="3:46" ht="14" hidden="1" customHeight="1" x14ac:dyDescent="0.35">
      <c r="C81" s="297" t="str">
        <f>+[3]TableA1!A82</f>
        <v>Seychelles</v>
      </c>
      <c r="D81" s="294"/>
      <c r="E81" s="293"/>
      <c r="F81" s="292"/>
      <c r="G81" s="292"/>
      <c r="H81" s="292"/>
      <c r="I81" s="290"/>
      <c r="J81" s="290"/>
      <c r="K81" s="290"/>
      <c r="L81" s="296"/>
      <c r="M81" s="290"/>
      <c r="N81" s="295"/>
      <c r="O81" s="294"/>
      <c r="P81" s="293"/>
      <c r="Q81" s="292"/>
      <c r="R81" s="292"/>
      <c r="S81" s="292"/>
      <c r="T81" s="290"/>
      <c r="U81" s="290"/>
      <c r="V81" s="290"/>
      <c r="W81" s="296"/>
      <c r="X81" s="290">
        <f>IFERROR(IFERROR(VLOOKUP(C81,'[2]Swiss pivot'!$E$3:$H$54,4,0),VLOOKUP($C81,'[2]Breakdown non-EU havens'!$F$59:$H$86,3,0)/$E$106),AJ81*'[2]Non-EU tax havens'!$I$8)</f>
        <v>0</v>
      </c>
      <c r="Y81" s="289"/>
      <c r="Z81" s="266"/>
      <c r="AB81" s="52"/>
      <c r="AC81" s="52">
        <f t="shared" si="43"/>
        <v>0</v>
      </c>
      <c r="AD81" s="52"/>
      <c r="AE81" s="52">
        <f t="shared" si="44"/>
        <v>0</v>
      </c>
      <c r="AF81" s="52"/>
      <c r="AG81" s="49">
        <f>+'[2]CDIS Table-4'!U78</f>
        <v>0</v>
      </c>
      <c r="AH81" s="52">
        <f t="shared" si="37"/>
        <v>0</v>
      </c>
      <c r="AI81" s="52">
        <f t="shared" si="42"/>
        <v>0</v>
      </c>
      <c r="AJ81" s="52">
        <f t="shared" si="48"/>
        <v>0</v>
      </c>
      <c r="AK81" s="52"/>
      <c r="AM81" s="52"/>
      <c r="AN81" s="52">
        <f t="shared" si="45"/>
        <v>0</v>
      </c>
      <c r="AO81" s="52"/>
      <c r="AP81" s="52">
        <f t="shared" si="46"/>
        <v>0</v>
      </c>
      <c r="AQ81" s="52"/>
      <c r="AR81" s="52">
        <f t="shared" si="47"/>
        <v>0</v>
      </c>
      <c r="AS81" s="52"/>
      <c r="AT81" s="52">
        <f t="shared" si="41"/>
        <v>0</v>
      </c>
    </row>
    <row r="82" spans="3:46" hidden="1" x14ac:dyDescent="0.35">
      <c r="C82" s="297" t="s">
        <v>116</v>
      </c>
      <c r="D82" s="294"/>
      <c r="E82" s="293"/>
      <c r="F82" s="292"/>
      <c r="G82" s="292"/>
      <c r="H82" s="292"/>
      <c r="I82" s="290"/>
      <c r="J82" s="290"/>
      <c r="K82" s="290"/>
      <c r="L82" s="296"/>
      <c r="M82" s="290"/>
      <c r="N82" s="295"/>
      <c r="O82" s="294"/>
      <c r="P82" s="293"/>
      <c r="Q82" s="292"/>
      <c r="R82" s="292"/>
      <c r="S82" s="292"/>
      <c r="T82" s="290"/>
      <c r="U82" s="290"/>
      <c r="V82" s="290"/>
      <c r="W82" s="296"/>
      <c r="X82" s="290">
        <f>IFERROR(IFERROR(VLOOKUP(C82,'[2]Swiss pivot'!$E$3:$H$54,4,0),VLOOKUP($C82,'[2]Breakdown non-EU havens'!$F$59:$H$86,3,0)/$E$106),AJ82*'[2]Non-EU tax havens'!$I$8)</f>
        <v>989.87535073695358</v>
      </c>
      <c r="Y82" s="289"/>
      <c r="Z82" s="266"/>
      <c r="AB82" s="52"/>
      <c r="AC82" s="52">
        <f t="shared" si="43"/>
        <v>0</v>
      </c>
      <c r="AD82" s="52"/>
      <c r="AE82" s="52">
        <f t="shared" si="44"/>
        <v>0</v>
      </c>
      <c r="AF82" s="52"/>
      <c r="AG82" s="49">
        <f>+'[2]CDIS Table-4'!U79</f>
        <v>0</v>
      </c>
      <c r="AH82" s="52">
        <f t="shared" si="37"/>
        <v>0</v>
      </c>
      <c r="AI82" s="52">
        <f t="shared" si="42"/>
        <v>0</v>
      </c>
      <c r="AJ82" s="52">
        <f t="shared" si="48"/>
        <v>0</v>
      </c>
      <c r="AK82" s="52"/>
      <c r="AM82" s="52"/>
      <c r="AN82" s="52">
        <f t="shared" si="45"/>
        <v>0</v>
      </c>
      <c r="AO82" s="52"/>
      <c r="AP82" s="52">
        <f t="shared" si="46"/>
        <v>0</v>
      </c>
      <c r="AQ82" s="52"/>
      <c r="AR82" s="52">
        <f t="shared" si="47"/>
        <v>0</v>
      </c>
      <c r="AS82" s="52"/>
      <c r="AT82" s="52">
        <f t="shared" si="41"/>
        <v>0</v>
      </c>
    </row>
    <row r="83" spans="3:46" hidden="1" x14ac:dyDescent="0.35">
      <c r="C83" s="297" t="str">
        <f>+[3]TableA1!A84</f>
        <v>St. Kitts and Nevis</v>
      </c>
      <c r="D83" s="294"/>
      <c r="E83" s="293"/>
      <c r="F83" s="292"/>
      <c r="G83" s="292"/>
      <c r="H83" s="292"/>
      <c r="I83" s="290"/>
      <c r="J83" s="290"/>
      <c r="K83" s="290"/>
      <c r="L83" s="296"/>
      <c r="M83" s="290"/>
      <c r="N83" s="295"/>
      <c r="O83" s="294"/>
      <c r="P83" s="293"/>
      <c r="Q83" s="292"/>
      <c r="R83" s="292"/>
      <c r="S83" s="292"/>
      <c r="T83" s="290"/>
      <c r="U83" s="290"/>
      <c r="V83" s="290"/>
      <c r="W83" s="296"/>
      <c r="X83" s="290">
        <f>IFERROR(IFERROR(VLOOKUP(C83,'[2]Swiss pivot'!$E$3:$H$54,4,0),VLOOKUP($C83,'[2]Breakdown non-EU havens'!$F$59:$H$86,3,0)/$E$106),AJ83*'[2]Non-EU tax havens'!$I$8)</f>
        <v>0</v>
      </c>
      <c r="Y83" s="289"/>
      <c r="Z83" s="266"/>
      <c r="AB83" s="52"/>
      <c r="AC83" s="52">
        <f t="shared" si="43"/>
        <v>0</v>
      </c>
      <c r="AD83" s="52"/>
      <c r="AE83" s="52">
        <f t="shared" si="44"/>
        <v>0</v>
      </c>
      <c r="AF83" s="52"/>
      <c r="AG83" s="49">
        <f>+'[2]CDIS Table-4'!U80</f>
        <v>0</v>
      </c>
      <c r="AH83" s="52">
        <f t="shared" si="37"/>
        <v>0</v>
      </c>
      <c r="AI83" s="52">
        <f t="shared" si="42"/>
        <v>0</v>
      </c>
      <c r="AJ83" s="52">
        <f t="shared" si="48"/>
        <v>0</v>
      </c>
      <c r="AK83" s="52"/>
      <c r="AM83" s="52"/>
      <c r="AN83" s="52">
        <f t="shared" si="45"/>
        <v>0</v>
      </c>
      <c r="AO83" s="52"/>
      <c r="AP83" s="52">
        <f t="shared" si="46"/>
        <v>0</v>
      </c>
      <c r="AQ83" s="52"/>
      <c r="AR83" s="52">
        <f t="shared" si="47"/>
        <v>0</v>
      </c>
      <c r="AS83" s="52"/>
      <c r="AT83" s="52">
        <f t="shared" si="41"/>
        <v>0</v>
      </c>
    </row>
    <row r="84" spans="3:46" hidden="1" x14ac:dyDescent="0.35">
      <c r="C84" s="297" t="str">
        <f>+[3]TableA1!A85</f>
        <v>St. Lucia</v>
      </c>
      <c r="D84" s="294"/>
      <c r="E84" s="293"/>
      <c r="F84" s="292"/>
      <c r="G84" s="292"/>
      <c r="H84" s="292"/>
      <c r="I84" s="290"/>
      <c r="J84" s="290"/>
      <c r="K84" s="290"/>
      <c r="L84" s="296"/>
      <c r="M84" s="290"/>
      <c r="N84" s="295"/>
      <c r="O84" s="294"/>
      <c r="P84" s="293"/>
      <c r="Q84" s="292"/>
      <c r="R84" s="292"/>
      <c r="S84" s="292"/>
      <c r="T84" s="290"/>
      <c r="U84" s="290"/>
      <c r="V84" s="290"/>
      <c r="W84" s="296"/>
      <c r="X84" s="290">
        <f>IFERROR(IFERROR(VLOOKUP(C84,'[2]Swiss pivot'!$E$3:$H$54,4,0),VLOOKUP($C84,'[2]Breakdown non-EU havens'!$F$59:$H$86,3,0)/$E$106),AJ84*'[2]Non-EU tax havens'!$I$8)</f>
        <v>0</v>
      </c>
      <c r="Y84" s="289"/>
      <c r="Z84" s="266"/>
      <c r="AB84" s="52"/>
      <c r="AC84" s="52">
        <f t="shared" si="43"/>
        <v>0</v>
      </c>
      <c r="AD84" s="52"/>
      <c r="AE84" s="52">
        <f t="shared" si="44"/>
        <v>0</v>
      </c>
      <c r="AF84" s="52"/>
      <c r="AG84" s="49">
        <f>+'[2]CDIS Table-4'!U81</f>
        <v>0</v>
      </c>
      <c r="AH84" s="52">
        <f t="shared" si="37"/>
        <v>0</v>
      </c>
      <c r="AI84" s="52">
        <f t="shared" si="42"/>
        <v>0</v>
      </c>
      <c r="AJ84" s="52">
        <f t="shared" si="48"/>
        <v>0</v>
      </c>
      <c r="AK84" s="52"/>
      <c r="AM84" s="52"/>
      <c r="AN84" s="52">
        <f t="shared" si="45"/>
        <v>0</v>
      </c>
      <c r="AO84" s="52"/>
      <c r="AP84" s="52">
        <f t="shared" si="46"/>
        <v>0</v>
      </c>
      <c r="AQ84" s="52"/>
      <c r="AR84" s="52">
        <f t="shared" si="47"/>
        <v>0</v>
      </c>
      <c r="AS84" s="52"/>
      <c r="AT84" s="52">
        <f t="shared" si="41"/>
        <v>0</v>
      </c>
    </row>
    <row r="85" spans="3:46" hidden="1" x14ac:dyDescent="0.35">
      <c r="C85" s="297" t="str">
        <f>+[3]TableA1!A86</f>
        <v>St. Vincent and the Grenadines</v>
      </c>
      <c r="D85" s="294"/>
      <c r="E85" s="293"/>
      <c r="F85" s="292"/>
      <c r="G85" s="292"/>
      <c r="H85" s="292"/>
      <c r="I85" s="290"/>
      <c r="J85" s="290"/>
      <c r="K85" s="290"/>
      <c r="L85" s="296"/>
      <c r="M85" s="290"/>
      <c r="N85" s="295"/>
      <c r="O85" s="294"/>
      <c r="P85" s="293"/>
      <c r="Q85" s="292"/>
      <c r="R85" s="292"/>
      <c r="S85" s="292"/>
      <c r="T85" s="290"/>
      <c r="U85" s="290"/>
      <c r="V85" s="290"/>
      <c r="W85" s="296"/>
      <c r="X85" s="290">
        <f>IFERROR(IFERROR(VLOOKUP(C85,'[2]Swiss pivot'!$E$3:$H$54,4,0),VLOOKUP($C85,'[2]Breakdown non-EU havens'!$F$59:$H$86,3,0)/$E$106),AJ85*'[2]Non-EU tax havens'!$I$8)</f>
        <v>0</v>
      </c>
      <c r="Y85" s="289"/>
      <c r="Z85" s="266"/>
      <c r="AB85" s="52"/>
      <c r="AC85" s="52">
        <f t="shared" si="43"/>
        <v>0</v>
      </c>
      <c r="AD85" s="52"/>
      <c r="AE85" s="52">
        <f t="shared" si="44"/>
        <v>0</v>
      </c>
      <c r="AF85" s="52"/>
      <c r="AG85" s="49">
        <f>+'[2]CDIS Table-4'!U82</f>
        <v>0</v>
      </c>
      <c r="AH85" s="52">
        <f t="shared" si="37"/>
        <v>0</v>
      </c>
      <c r="AI85" s="52">
        <f t="shared" si="42"/>
        <v>0</v>
      </c>
      <c r="AJ85" s="52">
        <f t="shared" si="48"/>
        <v>0</v>
      </c>
      <c r="AK85" s="52"/>
      <c r="AM85" s="52"/>
      <c r="AN85" s="52">
        <f t="shared" si="45"/>
        <v>0</v>
      </c>
      <c r="AO85" s="52"/>
      <c r="AP85" s="52">
        <f t="shared" si="46"/>
        <v>0</v>
      </c>
      <c r="AQ85" s="52"/>
      <c r="AR85" s="52">
        <f t="shared" si="47"/>
        <v>0</v>
      </c>
      <c r="AS85" s="52"/>
      <c r="AT85" s="52">
        <f t="shared" si="41"/>
        <v>0</v>
      </c>
    </row>
    <row r="86" spans="3:46" hidden="1" x14ac:dyDescent="0.35">
      <c r="C86" s="297" t="str">
        <f>+[3]TableA1!A87</f>
        <v>Turks and Caicos</v>
      </c>
      <c r="D86" s="294"/>
      <c r="E86" s="293"/>
      <c r="F86" s="292"/>
      <c r="G86" s="292"/>
      <c r="H86" s="292"/>
      <c r="I86" s="290"/>
      <c r="J86" s="290"/>
      <c r="K86" s="290"/>
      <c r="L86" s="296"/>
      <c r="M86" s="290"/>
      <c r="N86" s="295"/>
      <c r="O86" s="294"/>
      <c r="P86" s="293"/>
      <c r="Q86" s="292"/>
      <c r="R86" s="292"/>
      <c r="S86" s="292"/>
      <c r="T86" s="290"/>
      <c r="U86" s="290"/>
      <c r="V86" s="290"/>
      <c r="W86" s="296"/>
      <c r="X86" s="290">
        <f>IFERROR(IFERROR(VLOOKUP(C86,'[2]Swiss pivot'!$E$3:$H$54,4,0),VLOOKUP($C86,'[2]Breakdown non-EU havens'!$F$59:$H$86,3,0)/$E$106),AJ86*'[2]Non-EU tax havens'!$I$8)</f>
        <v>0</v>
      </c>
      <c r="Y86" s="289"/>
      <c r="Z86" s="266"/>
      <c r="AB86" s="52"/>
      <c r="AC86" s="52">
        <f t="shared" si="43"/>
        <v>0</v>
      </c>
      <c r="AD86" s="52"/>
      <c r="AE86" s="52">
        <f t="shared" si="44"/>
        <v>0</v>
      </c>
      <c r="AF86" s="52"/>
      <c r="AG86" s="49">
        <f>+'[2]CDIS Table-4'!U83</f>
        <v>0</v>
      </c>
      <c r="AH86" s="52">
        <f t="shared" si="37"/>
        <v>0</v>
      </c>
      <c r="AI86" s="52">
        <f t="shared" si="42"/>
        <v>0</v>
      </c>
      <c r="AJ86" s="52">
        <f t="shared" si="48"/>
        <v>0</v>
      </c>
      <c r="AK86" s="52"/>
      <c r="AM86" s="52"/>
      <c r="AN86" s="52">
        <f t="shared" si="45"/>
        <v>0</v>
      </c>
      <c r="AO86" s="52"/>
      <c r="AP86" s="52">
        <f t="shared" si="46"/>
        <v>0</v>
      </c>
      <c r="AQ86" s="52"/>
      <c r="AR86" s="52">
        <f t="shared" si="47"/>
        <v>0</v>
      </c>
      <c r="AS86" s="52"/>
      <c r="AT86" s="52">
        <f t="shared" si="41"/>
        <v>0</v>
      </c>
    </row>
    <row r="87" spans="3:46" hidden="1" x14ac:dyDescent="0.35">
      <c r="C87" s="297" t="str">
        <f>+[3]TableA1!A88</f>
        <v>Panama</v>
      </c>
      <c r="D87" s="294"/>
      <c r="E87" s="293"/>
      <c r="F87" s="292"/>
      <c r="G87" s="292"/>
      <c r="H87" s="292"/>
      <c r="I87" s="290"/>
      <c r="J87" s="290"/>
      <c r="K87" s="290"/>
      <c r="L87" s="296"/>
      <c r="M87" s="290"/>
      <c r="N87" s="295"/>
      <c r="O87" s="294"/>
      <c r="P87" s="293"/>
      <c r="Q87" s="292"/>
      <c r="R87" s="292"/>
      <c r="S87" s="292"/>
      <c r="T87" s="290"/>
      <c r="U87" s="290"/>
      <c r="V87" s="290"/>
      <c r="W87" s="296"/>
      <c r="X87" s="290">
        <f>IFERROR(IFERROR(VLOOKUP(C87,'[2]Swiss pivot'!$E$3:$H$54,4,0),VLOOKUP($C87,'[2]Breakdown non-EU havens'!$F$59:$H$86,3,0)/$E$106),AJ87*'[2]Non-EU tax havens'!$I$8)</f>
        <v>0</v>
      </c>
      <c r="Y87" s="289"/>
      <c r="Z87" s="266"/>
      <c r="AB87" s="52"/>
      <c r="AC87" s="52">
        <f t="shared" si="43"/>
        <v>0</v>
      </c>
      <c r="AD87" s="52"/>
      <c r="AE87" s="52">
        <f t="shared" si="44"/>
        <v>0</v>
      </c>
      <c r="AF87" s="52"/>
      <c r="AG87" s="49">
        <f>+'[2]CDIS Table-4'!U84</f>
        <v>0</v>
      </c>
      <c r="AH87" s="52">
        <f t="shared" si="37"/>
        <v>0</v>
      </c>
      <c r="AI87" s="52">
        <f t="shared" si="42"/>
        <v>0</v>
      </c>
      <c r="AJ87" s="52">
        <f t="shared" si="48"/>
        <v>0</v>
      </c>
      <c r="AK87" s="52"/>
      <c r="AM87" s="52"/>
      <c r="AN87" s="52">
        <f t="shared" si="45"/>
        <v>0</v>
      </c>
      <c r="AO87" s="52"/>
      <c r="AP87" s="52">
        <f t="shared" si="46"/>
        <v>0</v>
      </c>
      <c r="AQ87" s="52"/>
      <c r="AR87" s="52">
        <f t="shared" si="47"/>
        <v>0</v>
      </c>
      <c r="AS87" s="52"/>
      <c r="AT87" s="52">
        <f t="shared" si="41"/>
        <v>0</v>
      </c>
    </row>
    <row r="88" spans="3:46" hidden="1" x14ac:dyDescent="0.35">
      <c r="C88" s="297" t="s">
        <v>122</v>
      </c>
      <c r="D88" s="294"/>
      <c r="E88" s="293"/>
      <c r="F88" s="292"/>
      <c r="G88" s="292"/>
      <c r="H88" s="292"/>
      <c r="I88" s="290"/>
      <c r="J88" s="290"/>
      <c r="K88" s="290"/>
      <c r="L88" s="296"/>
      <c r="M88" s="290"/>
      <c r="N88" s="295"/>
      <c r="O88" s="294"/>
      <c r="P88" s="293"/>
      <c r="Q88" s="292"/>
      <c r="R88" s="292"/>
      <c r="S88" s="292"/>
      <c r="T88" s="290"/>
      <c r="U88" s="290"/>
      <c r="V88" s="290"/>
      <c r="W88" s="296"/>
      <c r="X88" s="290">
        <f>IFERROR(IFERROR(VLOOKUP(C88,'[2]Swiss pivot'!$E$3:$H$54,4,0),VLOOKUP($C88,'[2]Breakdown non-EU havens'!$F$59:$H$86,3,0)/$E$106),AJ88*'[2]Non-EU tax havens'!$I$8)</f>
        <v>0</v>
      </c>
      <c r="Y88" s="289"/>
      <c r="Z88" s="266"/>
      <c r="AB88" s="52"/>
      <c r="AC88" s="52">
        <f t="shared" si="43"/>
        <v>0</v>
      </c>
      <c r="AD88" s="52"/>
      <c r="AE88" s="52">
        <f t="shared" si="44"/>
        <v>0</v>
      </c>
      <c r="AF88" s="52"/>
      <c r="AG88" s="49">
        <f>+'[2]CDIS Table-4'!U85</f>
        <v>0</v>
      </c>
      <c r="AH88" s="52">
        <f t="shared" si="37"/>
        <v>0</v>
      </c>
      <c r="AI88" s="52">
        <f t="shared" si="42"/>
        <v>0</v>
      </c>
      <c r="AJ88" s="52">
        <f t="shared" si="48"/>
        <v>0</v>
      </c>
      <c r="AK88" s="52"/>
      <c r="AM88" s="52"/>
      <c r="AN88" s="52">
        <f t="shared" si="45"/>
        <v>0</v>
      </c>
      <c r="AO88" s="52"/>
      <c r="AP88" s="52">
        <f t="shared" si="46"/>
        <v>0</v>
      </c>
      <c r="AQ88" s="52"/>
      <c r="AR88" s="52">
        <f t="shared" si="47"/>
        <v>0</v>
      </c>
      <c r="AS88" s="52"/>
      <c r="AT88" s="52">
        <f t="shared" si="41"/>
        <v>0</v>
      </c>
    </row>
    <row r="89" spans="3:46" ht="46.5" x14ac:dyDescent="0.35">
      <c r="C89" s="307" t="s">
        <v>442</v>
      </c>
      <c r="D89" s="304">
        <f>+E89+L89</f>
        <v>3179.2180538768762</v>
      </c>
      <c r="E89" s="304">
        <f>+SUM(E90:E97)</f>
        <v>1137.2641509433961</v>
      </c>
      <c r="F89" s="269">
        <f t="shared" ref="F89:Y89" si="49">+SUM(F90:F97)</f>
        <v>89.504716981132091</v>
      </c>
      <c r="G89" s="269">
        <f t="shared" si="49"/>
        <v>0</v>
      </c>
      <c r="H89" s="269">
        <f t="shared" si="49"/>
        <v>0</v>
      </c>
      <c r="I89" s="269">
        <f t="shared" si="49"/>
        <v>61.320754716981128</v>
      </c>
      <c r="J89" s="269">
        <f t="shared" si="49"/>
        <v>20.636792452830189</v>
      </c>
      <c r="K89" s="269">
        <f t="shared" si="49"/>
        <v>965.80188679245282</v>
      </c>
      <c r="L89" s="304">
        <f t="shared" si="49"/>
        <v>2041.9539029334799</v>
      </c>
      <c r="M89" s="269">
        <f t="shared" si="49"/>
        <v>290.90190501650147</v>
      </c>
      <c r="N89" s="274">
        <f t="shared" si="49"/>
        <v>1751.0519979169781</v>
      </c>
      <c r="O89" s="304">
        <f t="shared" si="49"/>
        <v>36752.338298595721</v>
      </c>
      <c r="P89" s="304">
        <f t="shared" si="49"/>
        <v>6148.7028301886803</v>
      </c>
      <c r="Q89" s="281">
        <f t="shared" si="49"/>
        <v>838.79716981132083</v>
      </c>
      <c r="R89" s="281">
        <f t="shared" si="49"/>
        <v>9.316037735849056</v>
      </c>
      <c r="S89" s="281">
        <f t="shared" si="49"/>
        <v>1824.4103773584907</v>
      </c>
      <c r="T89" s="281">
        <f t="shared" si="49"/>
        <v>621.4622641509435</v>
      </c>
      <c r="U89" s="281">
        <f t="shared" si="49"/>
        <v>7.665094339622641</v>
      </c>
      <c r="V89" s="281">
        <f t="shared" si="49"/>
        <v>2847.0518867924529</v>
      </c>
      <c r="W89" s="304">
        <f t="shared" si="49"/>
        <v>30603.635468407039</v>
      </c>
      <c r="X89" s="269">
        <f t="shared" si="49"/>
        <v>4438.9923449725793</v>
      </c>
      <c r="Y89" s="267">
        <f t="shared" si="49"/>
        <v>26164.643123434456</v>
      </c>
      <c r="Z89" s="266"/>
      <c r="AA89" s="49"/>
      <c r="AB89" s="52"/>
      <c r="AC89" s="52"/>
      <c r="AD89" s="52"/>
      <c r="AE89" s="52"/>
      <c r="AF89" s="52"/>
      <c r="AG89" s="49"/>
      <c r="AH89" s="52"/>
      <c r="AI89" s="52"/>
      <c r="AJ89" s="52"/>
      <c r="AK89" s="52"/>
      <c r="AL89" s="49"/>
      <c r="AM89" s="52"/>
      <c r="AN89" s="52"/>
      <c r="AO89" s="52"/>
      <c r="AP89" s="52"/>
      <c r="AQ89" s="52"/>
      <c r="AR89" s="52"/>
      <c r="AS89" s="52"/>
      <c r="AT89" s="52"/>
    </row>
    <row r="90" spans="3:46" x14ac:dyDescent="0.35">
      <c r="C90" s="309" t="s">
        <v>130</v>
      </c>
      <c r="D90" s="308">
        <f t="shared" ref="D90:D97" si="50">+E90+L90</f>
        <v>402.36671284957288</v>
      </c>
      <c r="E90" s="308">
        <f t="shared" ref="E90:E97" si="51">SUM(F90:K90)</f>
        <v>224.8820754716981</v>
      </c>
      <c r="F90" s="281">
        <f>HLOOKUP($C90,'[2]Interest shifted to EU'!$L$2:$AT$8,F$2,0)/E$106</f>
        <v>5.8962264150943398</v>
      </c>
      <c r="G90" s="281">
        <f>HLOOKUP($C90,'[2]Interest shifted to EU'!$L$2:$AT$8,G$2,0)/E$106</f>
        <v>0</v>
      </c>
      <c r="H90" s="281">
        <f>HLOOKUP($C90,'[2]Interest shifted to EU'!$L$2:$AT$8,H$2,0)/E$106</f>
        <v>0</v>
      </c>
      <c r="I90" s="281">
        <f>HLOOKUP($C90,'[2]Interest shifted to EU'!$L$2:$AT$8,I$2,0)/E$106</f>
        <v>0</v>
      </c>
      <c r="J90" s="281">
        <f>HLOOKUP($C90,'[2]Interest shifted to EU'!$L$2:$AT$8,J$2,0)/E$106</f>
        <v>0.82547169811320753</v>
      </c>
      <c r="K90" s="281">
        <f>HLOOKUP($C90,'[2]Interest shifted to EU'!$L$2:$AT$8,K$2,0)/E$106</f>
        <v>218.16037735849056</v>
      </c>
      <c r="L90" s="308">
        <f t="shared" ref="L90:L97" si="52">SUM(M90:N90)</f>
        <v>177.4846373778748</v>
      </c>
      <c r="M90" s="290">
        <f>AC90*'[2]Non-EU tax havens'!$K$8</f>
        <v>25.284909248055978</v>
      </c>
      <c r="N90" s="295">
        <f>AC90*'[2]Non-EU tax havens'!$K$13</f>
        <v>152.19972812981882</v>
      </c>
      <c r="O90" s="308">
        <f t="shared" ref="O90:O97" si="53">+P90+W90</f>
        <v>3732.4956580788707</v>
      </c>
      <c r="P90" s="308">
        <f t="shared" ref="P90:P97" si="54">SUM(Q90:V90)</f>
        <v>964.03301886792451</v>
      </c>
      <c r="Q90" s="281">
        <f>HLOOKUP($C90,'[2]Non EU income shifted to EU'!$B$2:$AI$9,Q$2+1,0)/E$106</f>
        <v>87.028301886792448</v>
      </c>
      <c r="R90" s="281">
        <f>HLOOKUP($C90,'[2]Non EU income shifted to EU'!$B$2:$AI$9,R$2+1,0)/E$106</f>
        <v>0</v>
      </c>
      <c r="S90" s="281">
        <f>HLOOKUP($C90,'[2]Non EU income shifted to EU'!$B$2:$AI$9,S$2+1,0)/E$106</f>
        <v>179.48113207547169</v>
      </c>
      <c r="T90" s="281">
        <f>HLOOKUP($C90,'[2]Non EU income shifted to EU'!$B$2:$AI$9,T$2+1,0)/E$106</f>
        <v>100.23584905660378</v>
      </c>
      <c r="U90" s="281">
        <f>HLOOKUP($C90,'[2]Non EU income shifted to EU'!$B$2:$AI$9,U$2+1,0)/E$106</f>
        <v>0.23584905660377362</v>
      </c>
      <c r="V90" s="281">
        <f>HLOOKUP($C90,'[2]Non EU income shifted to EU'!$B$2:$AI$9,V$2+1,0)/E$106</f>
        <v>597.05188679245282</v>
      </c>
      <c r="W90" s="308">
        <f t="shared" ref="W90:W97" si="55">SUM(X90:Y90)</f>
        <v>2768.4626392109462</v>
      </c>
      <c r="X90" s="290">
        <f>IFERROR(IFERROR(VLOOKUP(C90,'[2]Swiss pivot'!$E$3:$H$54,4,0),VLOOKUP($C90,'[2]Breakdown non-EU havens'!$F$59:$H$86,3,0)/$E$106),AJ90*'[2]Non-EU tax havens'!$I$8)</f>
        <v>494.25743300480423</v>
      </c>
      <c r="Y90" s="289">
        <f>AE90*'[2]Non-EU tax havens'!$I$13</f>
        <v>2274.2052062061421</v>
      </c>
      <c r="AA90" s="49">
        <f>+'[2]CDIS Table-4'!O88</f>
        <v>2.2661938775837801E-3</v>
      </c>
      <c r="AB90" s="52">
        <f t="shared" ref="AB90:AB97" si="56">+AA90</f>
        <v>2.2661938775837801E-3</v>
      </c>
      <c r="AC90" s="52">
        <f t="shared" ref="AC90:AC98" si="57">+AB90/$AB$104</f>
        <v>5.1515645752120897E-3</v>
      </c>
      <c r="AD90" s="52">
        <f t="shared" ref="AD90:AD97" si="58">+AB90</f>
        <v>2.2661938775837801E-3</v>
      </c>
      <c r="AE90" s="52">
        <f t="shared" ref="AE90:AE98" si="59">+AD90/$AD$104</f>
        <v>6.8027167407655039E-3</v>
      </c>
      <c r="AF90" s="52"/>
      <c r="AG90" s="49">
        <f t="shared" ref="AG90:AG98" si="60">+AA90</f>
        <v>2.2661938775837801E-3</v>
      </c>
      <c r="AH90" s="52">
        <f t="shared" ref="AH90:AH97" si="61">+AG90</f>
        <v>2.2661938775837801E-3</v>
      </c>
      <c r="AI90" s="52">
        <f>+AH90</f>
        <v>2.2661938775837801E-3</v>
      </c>
      <c r="AJ90" s="52">
        <f t="shared" ref="AJ90:AJ98" si="62">+AI90/$AI$104</f>
        <v>1.7007356450526128E-2</v>
      </c>
      <c r="AK90" s="52"/>
      <c r="AL90" s="49">
        <f>+'[2]CDIS Table-4'!U88</f>
        <v>0</v>
      </c>
      <c r="AM90" s="52">
        <f t="shared" ref="AM90:AM97" si="63">+AL90</f>
        <v>0</v>
      </c>
      <c r="AN90" s="52">
        <f t="shared" ref="AN90:AN98" si="64">+AM90/$AB$104</f>
        <v>0</v>
      </c>
      <c r="AO90" s="52">
        <f t="shared" ref="AO90:AO97" si="65">+AM90</f>
        <v>0</v>
      </c>
      <c r="AP90" s="52">
        <f t="shared" ref="AP90:AP98" si="66">+AO90/$AD$104</f>
        <v>0</v>
      </c>
      <c r="AQ90" s="52">
        <f t="shared" ref="AQ90:AQ97" si="67">+AF90</f>
        <v>0</v>
      </c>
      <c r="AR90" s="52">
        <f>+AQ90/$AQ$99</f>
        <v>0</v>
      </c>
      <c r="AS90" s="52">
        <f t="shared" ref="AS90:AS97" si="68">+AR90</f>
        <v>0</v>
      </c>
      <c r="AT90" s="52">
        <f>+AS90/$AS$99</f>
        <v>0</v>
      </c>
    </row>
    <row r="91" spans="3:46" s="257" customFormat="1" x14ac:dyDescent="0.35">
      <c r="C91" s="309" t="s">
        <v>175</v>
      </c>
      <c r="D91" s="308">
        <f t="shared" si="50"/>
        <v>261.3344448025706</v>
      </c>
      <c r="E91" s="308">
        <f t="shared" si="51"/>
        <v>35.377358490566039</v>
      </c>
      <c r="F91" s="281">
        <f>HLOOKUP($C91,'[2]Interest shifted to EU'!$L$2:$AT$8,F$2,0)/E$106</f>
        <v>24.764150943396228</v>
      </c>
      <c r="G91" s="281">
        <f>HLOOKUP($C91,'[2]Interest shifted to EU'!$L$2:$AT$8,G$2,0)/E$106</f>
        <v>0</v>
      </c>
      <c r="H91" s="281">
        <f>HLOOKUP($C91,'[2]Interest shifted to EU'!$L$2:$AT$8,H$2,0)/E$106</f>
        <v>0</v>
      </c>
      <c r="I91" s="281">
        <f>HLOOKUP($C91,'[2]Interest shifted to EU'!$L$2:$AT$8,I$2,0)/E$106</f>
        <v>0</v>
      </c>
      <c r="J91" s="281">
        <f>HLOOKUP($C91,'[2]Interest shifted to EU'!$L$2:$AT$8,J$2,0)/E$106</f>
        <v>0</v>
      </c>
      <c r="K91" s="281">
        <f>HLOOKUP($C91,'[2]Interest shifted to EU'!$L$2:$AT$8,K$2,0)/E$106</f>
        <v>10.613207547169811</v>
      </c>
      <c r="L91" s="308">
        <f t="shared" si="52"/>
        <v>225.95708631200455</v>
      </c>
      <c r="M91" s="290">
        <f>AC91*'[2]Non-EU tax havens'!$K$8</f>
        <v>32.190416622877841</v>
      </c>
      <c r="N91" s="295">
        <f>AC91*'[2]Non-EU tax havens'!$K$13</f>
        <v>193.7666696891267</v>
      </c>
      <c r="O91" s="308">
        <f t="shared" si="53"/>
        <v>4362.6411599551784</v>
      </c>
      <c r="P91" s="308">
        <f t="shared" si="54"/>
        <v>838.08962264150944</v>
      </c>
      <c r="Q91" s="281">
        <f>HLOOKUP($C91,'[2]Non EU income shifted to EU'!$B$2:$AI$9,Q$2+1,0)/E$106</f>
        <v>287.97169811320754</v>
      </c>
      <c r="R91" s="281">
        <f>HLOOKUP($C91,'[2]Non EU income shifted to EU'!$B$2:$AI$9,R$2+1,0)/E$106</f>
        <v>5.4245283018867925</v>
      </c>
      <c r="S91" s="281">
        <f>HLOOKUP($C91,'[2]Non EU income shifted to EU'!$B$2:$AI$9,S$2+1,0)/E$106</f>
        <v>247.52358490566039</v>
      </c>
      <c r="T91" s="281">
        <f>HLOOKUP($C91,'[2]Non EU income shifted to EU'!$B$2:$AI$9,T$2+1,0)/E$106</f>
        <v>79.009433962264154</v>
      </c>
      <c r="U91" s="281">
        <f>HLOOKUP($C91,'[2]Non EU income shifted to EU'!$B$2:$AI$9,U$2+1,0)/E$106</f>
        <v>4.4811320754716979</v>
      </c>
      <c r="V91" s="281">
        <f>HLOOKUP($C91,'[2]Non EU income shifted to EU'!$B$2:$AI$9,V$2+1,0)/E$106</f>
        <v>213.67924528301887</v>
      </c>
      <c r="W91" s="308">
        <f t="shared" si="55"/>
        <v>3524.5515373136691</v>
      </c>
      <c r="X91" s="290">
        <f>IFERROR(IFERROR(VLOOKUP(C91,'[2]Swiss pivot'!$E$3:$H$54,4,0),VLOOKUP($C91,'[2]Breakdown non-EU havens'!$F$59:$H$86,3,0)/$E$106),AJ91*'[2]Non-EU tax havens'!$I$8)</f>
        <v>629.24302125395377</v>
      </c>
      <c r="Y91" s="289">
        <f>AE91*'[2]Non-EU tax havens'!$I$13</f>
        <v>2895.3085160597152</v>
      </c>
      <c r="AA91" s="49">
        <f>+'[2]CDIS Table-4'!O89</f>
        <v>2.8851092306469567E-3</v>
      </c>
      <c r="AB91" s="52">
        <f t="shared" si="56"/>
        <v>2.8851092306469567E-3</v>
      </c>
      <c r="AC91" s="52">
        <f t="shared" si="57"/>
        <v>6.5584973356582537E-3</v>
      </c>
      <c r="AD91" s="52">
        <f t="shared" si="58"/>
        <v>2.8851092306469567E-3</v>
      </c>
      <c r="AE91" s="52">
        <f t="shared" si="59"/>
        <v>8.6605921304425335E-3</v>
      </c>
      <c r="AF91" s="52"/>
      <c r="AG91" s="49">
        <f t="shared" si="60"/>
        <v>2.8851092306469567E-3</v>
      </c>
      <c r="AH91" s="52">
        <f t="shared" si="61"/>
        <v>2.8851092306469567E-3</v>
      </c>
      <c r="AI91" s="52">
        <f>+AH91</f>
        <v>2.8851092306469567E-3</v>
      </c>
      <c r="AJ91" s="52">
        <f t="shared" si="62"/>
        <v>2.1652199121035692E-2</v>
      </c>
      <c r="AK91" s="52"/>
      <c r="AL91" s="49">
        <f>+'[2]CDIS Table-4'!U89</f>
        <v>0</v>
      </c>
      <c r="AM91" s="52">
        <f t="shared" si="63"/>
        <v>0</v>
      </c>
      <c r="AN91" s="52">
        <f t="shared" si="64"/>
        <v>0</v>
      </c>
      <c r="AO91" s="52">
        <f t="shared" si="65"/>
        <v>0</v>
      </c>
      <c r="AP91" s="52">
        <f t="shared" si="66"/>
        <v>0</v>
      </c>
      <c r="AQ91" s="52">
        <f t="shared" si="67"/>
        <v>0</v>
      </c>
      <c r="AR91" s="52">
        <f t="shared" ref="AR91:AR97" si="69">+AQ91/$AQ$99</f>
        <v>0</v>
      </c>
      <c r="AS91" s="52">
        <f t="shared" si="68"/>
        <v>0</v>
      </c>
      <c r="AT91" s="52">
        <f t="shared" ref="AT91:AT97" si="70">+AS91/$AS$99</f>
        <v>0</v>
      </c>
    </row>
    <row r="92" spans="3:46" s="257" customFormat="1" x14ac:dyDescent="0.35">
      <c r="C92" s="309" t="s">
        <v>198</v>
      </c>
      <c r="D92" s="308">
        <f t="shared" si="50"/>
        <v>750.93332897111065</v>
      </c>
      <c r="E92" s="308">
        <f t="shared" si="51"/>
        <v>239.74056603773587</v>
      </c>
      <c r="F92" s="281">
        <f>HLOOKUP($C92,'[2]Interest shifted to EU'!$L$2:$AT$8,F$2,0)/E$106</f>
        <v>3.1839622641509435</v>
      </c>
      <c r="G92" s="281">
        <f>HLOOKUP($C92,'[2]Interest shifted to EU'!$L$2:$AT$8,G$2,0)/E$106</f>
        <v>0</v>
      </c>
      <c r="H92" s="281">
        <f>HLOOKUP($C92,'[2]Interest shifted to EU'!$L$2:$AT$8,H$2,0)/E$106</f>
        <v>0</v>
      </c>
      <c r="I92" s="281">
        <f>HLOOKUP($C92,'[2]Interest shifted to EU'!$L$2:$AT$8,I$2,0)/E$106</f>
        <v>0</v>
      </c>
      <c r="J92" s="281">
        <f>HLOOKUP($C92,'[2]Interest shifted to EU'!$L$2:$AT$8,J$2,0)/E$106</f>
        <v>6.6037735849056602</v>
      </c>
      <c r="K92" s="281">
        <f>HLOOKUP($C92,'[2]Interest shifted to EU'!$L$2:$AT$8,K$2,0)/E$106</f>
        <v>229.95283018867926</v>
      </c>
      <c r="L92" s="308">
        <f t="shared" si="52"/>
        <v>511.19276293337475</v>
      </c>
      <c r="M92" s="290">
        <f>AC92*'[2]Non-EU tax havens'!$K$8</f>
        <v>72.825810785608084</v>
      </c>
      <c r="N92" s="295">
        <f>AC92*'[2]Non-EU tax havens'!$K$13</f>
        <v>438.36695214776665</v>
      </c>
      <c r="O92" s="308">
        <f t="shared" si="53"/>
        <v>9300.2826713687609</v>
      </c>
      <c r="P92" s="308">
        <f t="shared" si="54"/>
        <v>1326.5330188679245</v>
      </c>
      <c r="Q92" s="281">
        <f>HLOOKUP($C92,'[2]Non EU income shifted to EU'!$B$2:$AI$9,Q$2+1,0)/E$106</f>
        <v>50.70754716981132</v>
      </c>
      <c r="R92" s="281">
        <f>HLOOKUP($C92,'[2]Non EU income shifted to EU'!$B$2:$AI$9,R$2+1,0)/E$106</f>
        <v>1.2971698113207548</v>
      </c>
      <c r="S92" s="281">
        <f>HLOOKUP($C92,'[2]Non EU income shifted to EU'!$B$2:$AI$9,S$2+1,0)/E$106</f>
        <v>531.83962264150944</v>
      </c>
      <c r="T92" s="281">
        <f>HLOOKUP($C92,'[2]Non EU income shifted to EU'!$B$2:$AI$9,T$2+1,0)/E$106</f>
        <v>69.575471698113205</v>
      </c>
      <c r="U92" s="281">
        <f>HLOOKUP($C92,'[2]Non EU income shifted to EU'!$B$2:$AI$9,U$2+1,0)/E$106</f>
        <v>1.0613207547169812</v>
      </c>
      <c r="V92" s="281">
        <f>HLOOKUP($C92,'[2]Non EU income shifted to EU'!$B$2:$AI$9,V$2+1,0)/E$106</f>
        <v>672.05188679245282</v>
      </c>
      <c r="W92" s="308">
        <f t="shared" si="55"/>
        <v>7973.7496525008373</v>
      </c>
      <c r="X92" s="290">
        <f>IFERROR(IFERROR(VLOOKUP(C92,'[2]Swiss pivot'!$E$3:$H$54,4,0),VLOOKUP($C92,'[2]Breakdown non-EU havens'!$F$59:$H$86,3,0)/$E$106),AJ92*'[2]Non-EU tax havens'!$I$8)</f>
        <v>1423.5644645691455</v>
      </c>
      <c r="Y92" s="289">
        <f>AE92*'[2]Non-EU tax havens'!$I$13</f>
        <v>6550.1851879316919</v>
      </c>
      <c r="AA92" s="49">
        <f>+'[2]CDIS Table-4'!O90</f>
        <v>6.5271108910588127E-3</v>
      </c>
      <c r="AB92" s="52">
        <f t="shared" si="56"/>
        <v>6.5271108910588127E-3</v>
      </c>
      <c r="AC92" s="52">
        <f t="shared" si="57"/>
        <v>1.4837580128276779E-2</v>
      </c>
      <c r="AD92" s="52">
        <f t="shared" si="58"/>
        <v>6.5271108910588127E-3</v>
      </c>
      <c r="AE92" s="52">
        <f t="shared" si="59"/>
        <v>1.9593242646467748E-2</v>
      </c>
      <c r="AF92" s="52"/>
      <c r="AG92" s="49">
        <f t="shared" si="60"/>
        <v>6.5271108910588127E-3</v>
      </c>
      <c r="AH92" s="52">
        <f t="shared" si="61"/>
        <v>6.5271108910588127E-3</v>
      </c>
      <c r="AI92" s="52">
        <f>+AH92</f>
        <v>6.5271108910588127E-3</v>
      </c>
      <c r="AJ92" s="52">
        <f t="shared" si="62"/>
        <v>4.8984732777897333E-2</v>
      </c>
      <c r="AK92" s="52"/>
      <c r="AL92" s="49">
        <f>+'[2]CDIS Table-4'!U90</f>
        <v>0</v>
      </c>
      <c r="AM92" s="52">
        <f t="shared" si="63"/>
        <v>0</v>
      </c>
      <c r="AN92" s="52">
        <f t="shared" si="64"/>
        <v>0</v>
      </c>
      <c r="AO92" s="52">
        <f t="shared" si="65"/>
        <v>0</v>
      </c>
      <c r="AP92" s="52">
        <f t="shared" si="66"/>
        <v>0</v>
      </c>
      <c r="AQ92" s="52">
        <f t="shared" si="67"/>
        <v>0</v>
      </c>
      <c r="AR92" s="52">
        <f t="shared" si="69"/>
        <v>0</v>
      </c>
      <c r="AS92" s="52">
        <f t="shared" si="68"/>
        <v>0</v>
      </c>
      <c r="AT92" s="52">
        <f t="shared" si="70"/>
        <v>0</v>
      </c>
    </row>
    <row r="93" spans="3:46" s="257" customFormat="1" x14ac:dyDescent="0.35">
      <c r="C93" s="309" t="s">
        <v>222</v>
      </c>
      <c r="D93" s="308">
        <f t="shared" si="50"/>
        <v>446.61136009609896</v>
      </c>
      <c r="E93" s="308">
        <f t="shared" si="51"/>
        <v>122.87735849056604</v>
      </c>
      <c r="F93" s="281">
        <f>HLOOKUP($C93,'[2]Interest shifted to EU'!$L$2:$AT$8,F$2,0)/E$106</f>
        <v>10.849056603773585</v>
      </c>
      <c r="G93" s="281">
        <f>HLOOKUP($C93,'[2]Interest shifted to EU'!$L$2:$AT$8,G$2,0)/E$106</f>
        <v>0</v>
      </c>
      <c r="H93" s="281">
        <f>HLOOKUP($C93,'[2]Interest shifted to EU'!$L$2:$AT$8,H$2,0)/E$106</f>
        <v>0</v>
      </c>
      <c r="I93" s="281">
        <f>HLOOKUP($C93,'[2]Interest shifted to EU'!$L$2:$AT$8,I$2,0)/E$106</f>
        <v>41.037735849056602</v>
      </c>
      <c r="J93" s="281">
        <f>HLOOKUP($C93,'[2]Interest shifted to EU'!$L$2:$AT$8,J$2,0)/E$106</f>
        <v>2.5943396226415096</v>
      </c>
      <c r="K93" s="281">
        <f>HLOOKUP($C93,'[2]Interest shifted to EU'!$L$2:$AT$8,K$2,0)/E$106</f>
        <v>68.396226415094347</v>
      </c>
      <c r="L93" s="308">
        <f t="shared" si="52"/>
        <v>323.73400160553291</v>
      </c>
      <c r="M93" s="290">
        <f>AC93*'[2]Non-EU tax havens'!$K$8</f>
        <v>46.119962674168448</v>
      </c>
      <c r="N93" s="295">
        <f>AC93*'[2]Non-EU tax havens'!$K$13</f>
        <v>277.61403893136446</v>
      </c>
      <c r="O93" s="308">
        <f t="shared" si="53"/>
        <v>5464.5663803871194</v>
      </c>
      <c r="P93" s="308">
        <f t="shared" si="54"/>
        <v>1115.4481132075471</v>
      </c>
      <c r="Q93" s="281">
        <f>HLOOKUP($C93,'[2]Non EU income shifted to EU'!$B$2:$AI$9,Q$2+1,0)/E$106</f>
        <v>275.94339622641508</v>
      </c>
      <c r="R93" s="281">
        <f>HLOOKUP($C93,'[2]Non EU income shifted to EU'!$B$2:$AI$9,R$2+1,0)/E$106</f>
        <v>0</v>
      </c>
      <c r="S93" s="281">
        <f>HLOOKUP($C93,'[2]Non EU income shifted to EU'!$B$2:$AI$9,S$2+1,0)/E$106</f>
        <v>346.22641509433964</v>
      </c>
      <c r="T93" s="281">
        <f>HLOOKUP($C93,'[2]Non EU income shifted to EU'!$B$2:$AI$9,T$2+1,0)/E$106</f>
        <v>102.59433962264151</v>
      </c>
      <c r="U93" s="281">
        <f>HLOOKUP($C93,'[2]Non EU income shifted to EU'!$B$2:$AI$9,U$2+1,0)/E$106</f>
        <v>1.5330188679245285</v>
      </c>
      <c r="V93" s="281">
        <f>HLOOKUP($C93,'[2]Non EU income shifted to EU'!$B$2:$AI$9,V$2+1,0)/E$106</f>
        <v>389.15094339622641</v>
      </c>
      <c r="W93" s="308">
        <f t="shared" si="55"/>
        <v>4349.1182671795723</v>
      </c>
      <c r="X93" s="290">
        <f>IFERROR(IFERROR(VLOOKUP(C93,'[2]Swiss pivot'!$E$3:$H$54,4,0),VLOOKUP($C93,'[2]Breakdown non-EU havens'!$F$59:$H$86,3,0)/$E$106),AJ93*'[2]Non-EU tax havens'!$I$8)</f>
        <v>200.94204892041597</v>
      </c>
      <c r="Y93" s="289">
        <f>AE93*'[2]Non-EU tax havens'!$I$13</f>
        <v>4148.1762182591565</v>
      </c>
      <c r="AA93" s="49">
        <f>+'[2]CDIS Table-4'!O91</f>
        <v>4.1335634635362092E-3</v>
      </c>
      <c r="AB93" s="52">
        <f t="shared" si="56"/>
        <v>4.1335634635362092E-3</v>
      </c>
      <c r="AC93" s="52">
        <f t="shared" si="57"/>
        <v>9.3965125044147453E-3</v>
      </c>
      <c r="AD93" s="52">
        <f t="shared" si="58"/>
        <v>4.1335634635362092E-3</v>
      </c>
      <c r="AE93" s="52">
        <f t="shared" si="59"/>
        <v>1.2408232874759784E-2</v>
      </c>
      <c r="AF93" s="52"/>
      <c r="AG93" s="49">
        <f t="shared" si="60"/>
        <v>4.1335634635362092E-3</v>
      </c>
      <c r="AH93" s="52">
        <f t="shared" si="61"/>
        <v>4.1335634635362092E-3</v>
      </c>
      <c r="AI93" s="52">
        <f>+AH93</f>
        <v>4.1335634635362092E-3</v>
      </c>
      <c r="AJ93" s="52">
        <f t="shared" si="62"/>
        <v>3.10216120212039E-2</v>
      </c>
      <c r="AK93" s="52"/>
      <c r="AL93" s="49">
        <f>+'[2]CDIS Table-4'!U91</f>
        <v>0</v>
      </c>
      <c r="AM93" s="52">
        <f t="shared" si="63"/>
        <v>0</v>
      </c>
      <c r="AN93" s="52">
        <f t="shared" si="64"/>
        <v>0</v>
      </c>
      <c r="AO93" s="52">
        <f t="shared" si="65"/>
        <v>0</v>
      </c>
      <c r="AP93" s="52">
        <f t="shared" si="66"/>
        <v>0</v>
      </c>
      <c r="AQ93" s="52">
        <f t="shared" si="67"/>
        <v>0</v>
      </c>
      <c r="AR93" s="52">
        <f t="shared" si="69"/>
        <v>0</v>
      </c>
      <c r="AS93" s="52">
        <f t="shared" si="68"/>
        <v>0</v>
      </c>
      <c r="AT93" s="52">
        <f t="shared" si="70"/>
        <v>0</v>
      </c>
    </row>
    <row r="94" spans="3:46" s="257" customFormat="1" x14ac:dyDescent="0.35">
      <c r="C94" s="309" t="s">
        <v>240</v>
      </c>
      <c r="D94" s="308">
        <f t="shared" si="50"/>
        <v>416.88240502719157</v>
      </c>
      <c r="E94" s="308">
        <f t="shared" si="51"/>
        <v>220.51886792452831</v>
      </c>
      <c r="F94" s="281">
        <f>HLOOKUP($C94,'[2]Interest shifted to EU'!$L$2:$AT$8,F$2,0)/E$106</f>
        <v>31.839622641509436</v>
      </c>
      <c r="G94" s="281">
        <f>HLOOKUP($C94,'[2]Interest shifted to EU'!$L$2:$AT$8,G$2,0)/E$106</f>
        <v>0</v>
      </c>
      <c r="H94" s="281">
        <f>HLOOKUP($C94,'[2]Interest shifted to EU'!$L$2:$AT$8,H$2,0)/E$106</f>
        <v>0</v>
      </c>
      <c r="I94" s="281">
        <f>HLOOKUP($C94,'[2]Interest shifted to EU'!$L$2:$AT$8,I$2,0)/E$106</f>
        <v>0</v>
      </c>
      <c r="J94" s="281">
        <f>HLOOKUP($C94,'[2]Interest shifted to EU'!$L$2:$AT$8,J$2,0)/E$106</f>
        <v>0</v>
      </c>
      <c r="K94" s="281">
        <f>HLOOKUP($C94,'[2]Interest shifted to EU'!$L$2:$AT$8,K$2,0)/E$106</f>
        <v>188.67924528301887</v>
      </c>
      <c r="L94" s="308">
        <f t="shared" si="52"/>
        <v>196.36353710266323</v>
      </c>
      <c r="M94" s="290">
        <f>AC94*'[2]Non-EU tax havens'!$K$8</f>
        <v>27.974444935745485</v>
      </c>
      <c r="N94" s="295">
        <f>AC94*'[2]Non-EU tax havens'!$K$13</f>
        <v>168.38909216691775</v>
      </c>
      <c r="O94" s="308">
        <f t="shared" si="53"/>
        <v>3192.7615487167022</v>
      </c>
      <c r="P94" s="308">
        <f t="shared" si="54"/>
        <v>676.65094339622647</v>
      </c>
      <c r="Q94" s="281">
        <f>HLOOKUP($C94,'[2]Non EU income shifted to EU'!$B$2:$AI$9,Q$2+1,0)/E$106</f>
        <v>61.79245283018868</v>
      </c>
      <c r="R94" s="281">
        <f>HLOOKUP($C94,'[2]Non EU income shifted to EU'!$B$2:$AI$9,R$2+1,0)/E$106</f>
        <v>1.179245283018868</v>
      </c>
      <c r="S94" s="281">
        <f>HLOOKUP($C94,'[2]Non EU income shifted to EU'!$B$2:$AI$9,S$2+1,0)/E$106</f>
        <v>142.68867924528303</v>
      </c>
      <c r="T94" s="281">
        <f>HLOOKUP($C94,'[2]Non EU income shifted to EU'!$B$2:$AI$9,T$2+1,0)/E$106</f>
        <v>81.367924528301884</v>
      </c>
      <c r="U94" s="281">
        <f>HLOOKUP($C94,'[2]Non EU income shifted to EU'!$B$2:$AI$9,U$2+1,0)/E$106</f>
        <v>0.35377358490566035</v>
      </c>
      <c r="V94" s="281">
        <f>HLOOKUP($C94,'[2]Non EU income shifted to EU'!$B$2:$AI$9,V$2+1,0)/E$106</f>
        <v>389.26886792452837</v>
      </c>
      <c r="W94" s="308">
        <f t="shared" si="55"/>
        <v>2516.1106053204758</v>
      </c>
      <c r="X94" s="290">
        <f>IFERROR(IFERROR(VLOOKUP(C94,'[2]Swiss pivot'!$E$3:$H$54,4,0),VLOOKUP($C94,'[2]Breakdown non-EU havens'!$F$59:$H$86,3,0)/$E$106),AJ94*'[2]Non-EU tax havens'!$I$8)</f>
        <v>0</v>
      </c>
      <c r="Y94" s="289">
        <f>AE94*'[2]Non-EU tax havens'!$I$13</f>
        <v>2516.1106053204758</v>
      </c>
      <c r="AA94" s="49">
        <f>+'[2]CDIS Table-4'!O93</f>
        <v>2.5072471180439433E-3</v>
      </c>
      <c r="AB94" s="52">
        <f t="shared" si="56"/>
        <v>2.5072471180439433E-3</v>
      </c>
      <c r="AC94" s="52">
        <f t="shared" si="57"/>
        <v>5.6995324020507488E-3</v>
      </c>
      <c r="AD94" s="52">
        <f t="shared" si="58"/>
        <v>2.5072471180439433E-3</v>
      </c>
      <c r="AE94" s="52">
        <f t="shared" si="59"/>
        <v>7.5263163102968185E-3</v>
      </c>
      <c r="AF94" s="52"/>
      <c r="AG94" s="49">
        <f t="shared" si="60"/>
        <v>2.5072471180439433E-3</v>
      </c>
      <c r="AH94" s="52">
        <f t="shared" si="61"/>
        <v>2.5072471180439433E-3</v>
      </c>
      <c r="AI94" s="52"/>
      <c r="AJ94" s="52">
        <f t="shared" si="62"/>
        <v>0</v>
      </c>
      <c r="AK94" s="52"/>
      <c r="AL94" s="49">
        <f>+'[2]CDIS Table-4'!U93</f>
        <v>0</v>
      </c>
      <c r="AM94" s="52">
        <f t="shared" si="63"/>
        <v>0</v>
      </c>
      <c r="AN94" s="52">
        <f t="shared" si="64"/>
        <v>0</v>
      </c>
      <c r="AO94" s="52">
        <f t="shared" si="65"/>
        <v>0</v>
      </c>
      <c r="AP94" s="52">
        <f t="shared" si="66"/>
        <v>0</v>
      </c>
      <c r="AQ94" s="52">
        <f t="shared" si="67"/>
        <v>0</v>
      </c>
      <c r="AR94" s="52">
        <f t="shared" si="69"/>
        <v>0</v>
      </c>
      <c r="AS94" s="52">
        <f t="shared" si="68"/>
        <v>0</v>
      </c>
      <c r="AT94" s="52">
        <f t="shared" si="70"/>
        <v>0</v>
      </c>
    </row>
    <row r="95" spans="3:46" s="257" customFormat="1" x14ac:dyDescent="0.35">
      <c r="C95" s="309" t="s">
        <v>267</v>
      </c>
      <c r="D95" s="308">
        <f t="shared" si="50"/>
        <v>566.2762885420517</v>
      </c>
      <c r="E95" s="308">
        <f t="shared" si="51"/>
        <v>73.584905660377359</v>
      </c>
      <c r="F95" s="281">
        <f>HLOOKUP($C95,'[2]Interest shifted to EU'!$L$2:$AT$8,F$2,0)/E$106</f>
        <v>10.377358490566039</v>
      </c>
      <c r="G95" s="281">
        <f>HLOOKUP($C95,'[2]Interest shifted to EU'!$L$2:$AT$8,G$2,0)/E$106</f>
        <v>0</v>
      </c>
      <c r="H95" s="281">
        <f>HLOOKUP($C95,'[2]Interest shifted to EU'!$L$2:$AT$8,H$2,0)/E$106</f>
        <v>0</v>
      </c>
      <c r="I95" s="281">
        <f>HLOOKUP($C95,'[2]Interest shifted to EU'!$L$2:$AT$8,I$2,0)/E$106</f>
        <v>9.1981132075471699</v>
      </c>
      <c r="J95" s="281">
        <f>HLOOKUP($C95,'[2]Interest shifted to EU'!$L$2:$AT$8,J$2,0)/E$106</f>
        <v>8.0188679245283012</v>
      </c>
      <c r="K95" s="281">
        <f>HLOOKUP($C95,'[2]Interest shifted to EU'!$L$2:$AT$8,K$2,0)/E$106</f>
        <v>45.990566037735853</v>
      </c>
      <c r="L95" s="308">
        <f t="shared" si="52"/>
        <v>492.69138288167431</v>
      </c>
      <c r="M95" s="290">
        <f>AC95*'[2]Non-EU tax havens'!$K$8</f>
        <v>70.190057503057474</v>
      </c>
      <c r="N95" s="295">
        <f>AC95*'[2]Non-EU tax havens'!$K$13</f>
        <v>422.50132537861685</v>
      </c>
      <c r="O95" s="308">
        <f t="shared" si="53"/>
        <v>8652.9657607605805</v>
      </c>
      <c r="P95" s="308">
        <f t="shared" si="54"/>
        <v>967.80660377358492</v>
      </c>
      <c r="Q95" s="281">
        <f>HLOOKUP($C95,'[2]Non EU income shifted to EU'!$B$2:$AI$9,Q$2+1,0)/E$106</f>
        <v>57.783018867924532</v>
      </c>
      <c r="R95" s="281">
        <f>HLOOKUP($C95,'[2]Non EU income shifted to EU'!$B$2:$AI$9,R$2+1,0)/E$106</f>
        <v>1.4150943396226414</v>
      </c>
      <c r="S95" s="281">
        <f>HLOOKUP($C95,'[2]Non EU income shifted to EU'!$B$2:$AI$9,S$2+1,0)/E$106</f>
        <v>354.95283018867923</v>
      </c>
      <c r="T95" s="281">
        <f>HLOOKUP($C95,'[2]Non EU income shifted to EU'!$B$2:$AI$9,T$2+1,0)/E$106</f>
        <v>110.84905660377359</v>
      </c>
      <c r="U95" s="281">
        <f>HLOOKUP($C95,'[2]Non EU income shifted to EU'!$B$2:$AI$9,U$2+1,0)/E$106</f>
        <v>0</v>
      </c>
      <c r="V95" s="281">
        <f>HLOOKUP($C95,'[2]Non EU income shifted to EU'!$B$2:$AI$9,V$2+1,0)/E$106</f>
        <v>442.80660377358492</v>
      </c>
      <c r="W95" s="308">
        <f t="shared" si="55"/>
        <v>7685.1591569869952</v>
      </c>
      <c r="X95" s="290">
        <f>IFERROR(IFERROR(VLOOKUP(C95,'[2]Swiss pivot'!$E$3:$H$54,4,0),VLOOKUP($C95,'[2]Breakdown non-EU havens'!$F$59:$H$86,3,0)/$E$106),AJ95*'[2]Non-EU tax havens'!$I$8)</f>
        <v>1372.0420074906169</v>
      </c>
      <c r="Y95" s="289">
        <f>AE95*'[2]Non-EU tax havens'!$I$13</f>
        <v>6313.1171494963783</v>
      </c>
      <c r="AA95" s="49">
        <f>+'[2]CDIS Table-4'!O94</f>
        <v>6.2908779707371073E-3</v>
      </c>
      <c r="AB95" s="52">
        <f t="shared" si="56"/>
        <v>6.2908779707371073E-3</v>
      </c>
      <c r="AC95" s="52">
        <f t="shared" si="57"/>
        <v>1.4300569965172054E-2</v>
      </c>
      <c r="AD95" s="52">
        <f t="shared" si="58"/>
        <v>6.2908779707371073E-3</v>
      </c>
      <c r="AE95" s="52">
        <f t="shared" si="59"/>
        <v>1.8884112832956025E-2</v>
      </c>
      <c r="AF95" s="52"/>
      <c r="AG95" s="49">
        <f t="shared" si="60"/>
        <v>6.2908779707371073E-3</v>
      </c>
      <c r="AH95" s="52">
        <f t="shared" si="61"/>
        <v>6.2908779707371073E-3</v>
      </c>
      <c r="AI95" s="52">
        <f>+AH95</f>
        <v>6.2908779707371073E-3</v>
      </c>
      <c r="AJ95" s="52">
        <f t="shared" si="62"/>
        <v>4.7211849389145237E-2</v>
      </c>
      <c r="AK95" s="52"/>
      <c r="AL95" s="49">
        <f>+'[2]CDIS Table-4'!U94</f>
        <v>0</v>
      </c>
      <c r="AM95" s="52">
        <f t="shared" si="63"/>
        <v>0</v>
      </c>
      <c r="AN95" s="52">
        <f t="shared" si="64"/>
        <v>0</v>
      </c>
      <c r="AO95" s="52">
        <f t="shared" si="65"/>
        <v>0</v>
      </c>
      <c r="AP95" s="52">
        <f t="shared" si="66"/>
        <v>0</v>
      </c>
      <c r="AQ95" s="52">
        <f t="shared" si="67"/>
        <v>0</v>
      </c>
      <c r="AR95" s="52">
        <f t="shared" si="69"/>
        <v>0</v>
      </c>
      <c r="AS95" s="52">
        <f t="shared" si="68"/>
        <v>0</v>
      </c>
      <c r="AT95" s="52">
        <f t="shared" si="70"/>
        <v>0</v>
      </c>
    </row>
    <row r="96" spans="3:46" s="257" customFormat="1" x14ac:dyDescent="0.35">
      <c r="C96" s="309" t="s">
        <v>277</v>
      </c>
      <c r="D96" s="308">
        <f t="shared" si="50"/>
        <v>227.41852592700846</v>
      </c>
      <c r="E96" s="308">
        <f t="shared" si="51"/>
        <v>160.25943396226415</v>
      </c>
      <c r="F96" s="281">
        <f>HLOOKUP($C96,'[2]Interest shifted to EU'!$L$2:$AT$8,F$2,0)/E$106</f>
        <v>1.0613207547169812</v>
      </c>
      <c r="G96" s="281">
        <f>HLOOKUP($C96,'[2]Interest shifted to EU'!$L$2:$AT$8,G$2,0)/E$106</f>
        <v>0</v>
      </c>
      <c r="H96" s="281">
        <f>HLOOKUP($C96,'[2]Interest shifted to EU'!$L$2:$AT$8,H$2,0)/E$106</f>
        <v>0</v>
      </c>
      <c r="I96" s="281">
        <f>HLOOKUP($C96,'[2]Interest shifted to EU'!$L$2:$AT$8,I$2,0)/E$106</f>
        <v>4.4811320754716979</v>
      </c>
      <c r="J96" s="281">
        <f>HLOOKUP($C96,'[2]Interest shifted to EU'!$L$2:$AT$8,J$2,0)/E$106</f>
        <v>2.5943396226415096</v>
      </c>
      <c r="K96" s="281">
        <f>HLOOKUP($C96,'[2]Interest shifted to EU'!$L$2:$AT$8,K$2,0)/E$106</f>
        <v>152.12264150943398</v>
      </c>
      <c r="L96" s="308">
        <f t="shared" si="52"/>
        <v>67.159091964744306</v>
      </c>
      <c r="M96" s="290">
        <f>AC96*'[2]Non-EU tax havens'!$K$8</f>
        <v>9.5676536887811316</v>
      </c>
      <c r="N96" s="295">
        <f>AC96*'[2]Non-EU tax havens'!$K$13</f>
        <v>57.591438275963171</v>
      </c>
      <c r="O96" s="308">
        <f t="shared" si="53"/>
        <v>1216.7908834499456</v>
      </c>
      <c r="P96" s="308">
        <f t="shared" si="54"/>
        <v>169.22169811320754</v>
      </c>
      <c r="Q96" s="281">
        <f>HLOOKUP($C96,'[2]Non EU income shifted to EU'!$B$2:$AI$9,Q$2+1,0)/E$106</f>
        <v>11.79245283018868</v>
      </c>
      <c r="R96" s="281">
        <f>HLOOKUP($C96,'[2]Non EU income shifted to EU'!$B$2:$AI$9,R$2+1,0)/E$106</f>
        <v>0</v>
      </c>
      <c r="S96" s="281">
        <f>HLOOKUP($C96,'[2]Non EU income shifted to EU'!$B$2:$AI$9,S$2+1,0)/E$106</f>
        <v>0.11792452830188681</v>
      </c>
      <c r="T96" s="281">
        <f>HLOOKUP($C96,'[2]Non EU income shifted to EU'!$B$2:$AI$9,T$2+1,0)/E$106</f>
        <v>63.679245283018872</v>
      </c>
      <c r="U96" s="281">
        <f>HLOOKUP($C96,'[2]Non EU income shifted to EU'!$B$2:$AI$9,U$2+1,0)/E$106</f>
        <v>0</v>
      </c>
      <c r="V96" s="281">
        <f>HLOOKUP($C96,'[2]Non EU income shifted to EU'!$B$2:$AI$9,V$2+1,0)/E$106</f>
        <v>93.632075471698116</v>
      </c>
      <c r="W96" s="308">
        <f t="shared" si="55"/>
        <v>1047.569185336738</v>
      </c>
      <c r="X96" s="290">
        <f>IFERROR(IFERROR(VLOOKUP(C96,'[2]Swiss pivot'!$E$3:$H$54,4,0),VLOOKUP($C96,'[2]Breakdown non-EU havens'!$F$59:$H$86,3,0)/$E$106),AJ96*'[2]Non-EU tax havens'!$I$8)</f>
        <v>187.02396380795739</v>
      </c>
      <c r="Y96" s="289">
        <f>AE96*'[2]Non-EU tax havens'!$I$13</f>
        <v>860.54522152878064</v>
      </c>
      <c r="AA96" s="49">
        <f>+'[2]CDIS Table-4'!O96</f>
        <v>8.5751378419618787E-4</v>
      </c>
      <c r="AB96" s="52">
        <f t="shared" si="56"/>
        <v>8.5751378419618787E-4</v>
      </c>
      <c r="AC96" s="52">
        <f t="shared" si="57"/>
        <v>1.9493202576873663E-3</v>
      </c>
      <c r="AD96" s="52">
        <f t="shared" si="58"/>
        <v>8.5751378419618787E-4</v>
      </c>
      <c r="AE96" s="52">
        <f t="shared" si="59"/>
        <v>2.5741060519535912E-3</v>
      </c>
      <c r="AF96" s="52"/>
      <c r="AG96" s="49">
        <f t="shared" si="60"/>
        <v>8.5751378419618787E-4</v>
      </c>
      <c r="AH96" s="52">
        <f t="shared" si="61"/>
        <v>8.5751378419618787E-4</v>
      </c>
      <c r="AI96" s="52">
        <f>+AH96</f>
        <v>8.5751378419618787E-4</v>
      </c>
      <c r="AJ96" s="52">
        <f t="shared" si="62"/>
        <v>6.4354787705161566E-3</v>
      </c>
      <c r="AK96" s="52"/>
      <c r="AL96" s="49">
        <f>+'[2]CDIS Table-4'!U96</f>
        <v>0</v>
      </c>
      <c r="AM96" s="52">
        <f t="shared" si="63"/>
        <v>0</v>
      </c>
      <c r="AN96" s="52">
        <f t="shared" si="64"/>
        <v>0</v>
      </c>
      <c r="AO96" s="52">
        <f t="shared" si="65"/>
        <v>0</v>
      </c>
      <c r="AP96" s="52">
        <f t="shared" si="66"/>
        <v>0</v>
      </c>
      <c r="AQ96" s="52">
        <f t="shared" si="67"/>
        <v>0</v>
      </c>
      <c r="AR96" s="52">
        <f t="shared" si="69"/>
        <v>0</v>
      </c>
      <c r="AS96" s="52">
        <f t="shared" si="68"/>
        <v>0</v>
      </c>
      <c r="AT96" s="52">
        <f t="shared" si="70"/>
        <v>0</v>
      </c>
    </row>
    <row r="97" spans="3:46" s="257" customFormat="1" x14ac:dyDescent="0.35">
      <c r="C97" s="309" t="s">
        <v>280</v>
      </c>
      <c r="D97" s="308">
        <f t="shared" si="50"/>
        <v>107.39498766127119</v>
      </c>
      <c r="E97" s="308">
        <f t="shared" si="51"/>
        <v>60.023584905660385</v>
      </c>
      <c r="F97" s="281">
        <f>HLOOKUP($C97,'[2]Interest shifted to EU'!$L$2:$AT$8,F$2,0)/E$106</f>
        <v>1.5330188679245285</v>
      </c>
      <c r="G97" s="281">
        <f>HLOOKUP($C97,'[2]Interest shifted to EU'!$L$2:$AT$8,G$2,0)/E$106</f>
        <v>0</v>
      </c>
      <c r="H97" s="281">
        <f>HLOOKUP($C97,'[2]Interest shifted to EU'!$L$2:$AT$8,H$2,0)/E$106</f>
        <v>0</v>
      </c>
      <c r="I97" s="281">
        <f>HLOOKUP($C97,'[2]Interest shifted to EU'!$L$2:$AT$8,I$2,0)/E$106</f>
        <v>6.6037735849056602</v>
      </c>
      <c r="J97" s="281">
        <f>HLOOKUP($C97,'[2]Interest shifted to EU'!$L$2:$AT$8,J$2,0)/E$106</f>
        <v>0</v>
      </c>
      <c r="K97" s="281">
        <f>HLOOKUP($C97,'[2]Interest shifted to EU'!$L$2:$AT$8,K$2,0)/E$106</f>
        <v>51.886792452830193</v>
      </c>
      <c r="L97" s="308">
        <f t="shared" si="52"/>
        <v>47.371402755610809</v>
      </c>
      <c r="M97" s="290">
        <f>AC97*'[2]Non-EU tax havens'!$K$8</f>
        <v>6.7486495582070223</v>
      </c>
      <c r="N97" s="295">
        <f>AC97*'[2]Non-EU tax havens'!$K$13</f>
        <v>40.622753197403789</v>
      </c>
      <c r="O97" s="308">
        <f t="shared" si="53"/>
        <v>829.83423587855941</v>
      </c>
      <c r="P97" s="308">
        <f t="shared" si="54"/>
        <v>90.919811320754718</v>
      </c>
      <c r="Q97" s="281">
        <f>HLOOKUP($C97,'[2]Non EU income shifted to EU'!$B$2:$AI$9,Q$2+1,0)/E$106</f>
        <v>5.7783018867924536</v>
      </c>
      <c r="R97" s="281">
        <f>HLOOKUP($C97,'[2]Non EU income shifted to EU'!$B$2:$AI$9,R$2+1,0)/E$106</f>
        <v>0</v>
      </c>
      <c r="S97" s="281">
        <f>HLOOKUP($C97,'[2]Non EU income shifted to EU'!$B$2:$AI$9,S$2+1,0)/E$106</f>
        <v>21.580188679245285</v>
      </c>
      <c r="T97" s="281">
        <f>HLOOKUP($C97,'[2]Non EU income shifted to EU'!$B$2:$AI$9,T$2+1,0)/E$106</f>
        <v>14.150943396226415</v>
      </c>
      <c r="U97" s="281">
        <f>HLOOKUP($C97,'[2]Non EU income shifted to EU'!$B$2:$AI$9,U$2+1,0)/E$106</f>
        <v>0</v>
      </c>
      <c r="V97" s="281">
        <f>HLOOKUP($C97,'[2]Non EU income shifted to EU'!$B$2:$AI$9,V$2+1,0)/E$106</f>
        <v>49.410377358490564</v>
      </c>
      <c r="W97" s="308">
        <f t="shared" si="55"/>
        <v>738.91442455780475</v>
      </c>
      <c r="X97" s="290">
        <f>IFERROR(IFERROR(VLOOKUP(C97,'[2]Swiss pivot'!$E$3:$H$54,4,0),VLOOKUP($C97,'[2]Breakdown non-EU havens'!$F$59:$H$86,3,0)/$E$106),AJ97*'[2]Non-EU tax havens'!$I$8)</f>
        <v>131.91940592568523</v>
      </c>
      <c r="Y97" s="289">
        <f>AE97*'[2]Non-EU tax havens'!$I$13</f>
        <v>606.99501863211958</v>
      </c>
      <c r="AA97" s="49">
        <f>+'[2]CDIS Table-4'!O97</f>
        <v>6.0485676103200138E-4</v>
      </c>
      <c r="AB97" s="52">
        <f t="shared" si="56"/>
        <v>6.0485676103200138E-4</v>
      </c>
      <c r="AC97" s="52">
        <f t="shared" si="57"/>
        <v>1.3749744424039409E-3</v>
      </c>
      <c r="AD97" s="52">
        <f t="shared" si="58"/>
        <v>6.0485676103200138E-4</v>
      </c>
      <c r="AE97" s="52">
        <f t="shared" si="59"/>
        <v>1.8156739609695987E-3</v>
      </c>
      <c r="AF97" s="52"/>
      <c r="AG97" s="49">
        <f t="shared" si="60"/>
        <v>6.0485676103200138E-4</v>
      </c>
      <c r="AH97" s="52">
        <f t="shared" si="61"/>
        <v>6.0485676103200138E-4</v>
      </c>
      <c r="AI97" s="52">
        <f>+AH97</f>
        <v>6.0485676103200138E-4</v>
      </c>
      <c r="AJ97" s="52">
        <f t="shared" si="62"/>
        <v>4.5393355961891408E-3</v>
      </c>
      <c r="AK97" s="52"/>
      <c r="AL97" s="49">
        <f>+'[2]CDIS Table-4'!U97</f>
        <v>0</v>
      </c>
      <c r="AM97" s="52">
        <f t="shared" si="63"/>
        <v>0</v>
      </c>
      <c r="AN97" s="52">
        <f t="shared" si="64"/>
        <v>0</v>
      </c>
      <c r="AO97" s="52">
        <f t="shared" si="65"/>
        <v>0</v>
      </c>
      <c r="AP97" s="52">
        <f t="shared" si="66"/>
        <v>0</v>
      </c>
      <c r="AQ97" s="52">
        <f t="shared" si="67"/>
        <v>0</v>
      </c>
      <c r="AR97" s="52">
        <f t="shared" si="69"/>
        <v>0</v>
      </c>
      <c r="AS97" s="52">
        <f t="shared" si="68"/>
        <v>0</v>
      </c>
      <c r="AT97" s="52">
        <f t="shared" si="70"/>
        <v>0</v>
      </c>
    </row>
    <row r="98" spans="3:46" ht="40" customHeight="1" x14ac:dyDescent="0.35">
      <c r="C98" s="340" t="s">
        <v>327</v>
      </c>
      <c r="D98" s="287">
        <f>+E98+L98</f>
        <v>13696.68090222586</v>
      </c>
      <c r="E98" s="282">
        <f>SUM(F98:K98)</f>
        <v>6500.668617063242</v>
      </c>
      <c r="F98" s="286">
        <f>AR98*'[2]Interest shifted to EU'!$AU$13</f>
        <v>964.46685475514994</v>
      </c>
      <c r="G98" s="286">
        <f>AR98*'[2]Interest shifted to EU'!$AU$14</f>
        <v>772.06132675405217</v>
      </c>
      <c r="H98" s="286">
        <f>AR98*'[2]Interest shifted to EU'!$AU$15</f>
        <v>-1845.2927468305666</v>
      </c>
      <c r="I98" s="285">
        <f>AR98*'[2]Interest shifted to EU'!$AU$16</f>
        <v>1555.5109679332566</v>
      </c>
      <c r="J98" s="285">
        <f>AR98*'[2]Interest shifted to EU'!$AU$17</f>
        <v>4287.0751303194411</v>
      </c>
      <c r="K98" s="285">
        <f>AR98*'[2]Interest shifted to EU'!$AU$18</f>
        <v>766.84708413190856</v>
      </c>
      <c r="L98" s="280">
        <f>SUM(M98:N98)</f>
        <v>7196.0122851626184</v>
      </c>
      <c r="M98" s="279">
        <f>AC98*'[2]Non-EU tax havens'!$M$8</f>
        <v>913.26820012234043</v>
      </c>
      <c r="N98" s="284">
        <f>AC98*'[2]Non-EU tax havens'!$M$13</f>
        <v>6282.7440850402782</v>
      </c>
      <c r="O98" s="283">
        <f>+P98+W98</f>
        <v>129124.61477445156</v>
      </c>
      <c r="P98" s="282">
        <f>SUM(Q98:V98)</f>
        <v>35420.827091275911</v>
      </c>
      <c r="Q98" s="286">
        <f>AR98*'[2]Non EU income shifted to EU'!$AJ$13</f>
        <v>997.5882905307426</v>
      </c>
      <c r="R98" s="286">
        <f>AR98*'[2]Non EU income shifted to EU'!$AJ$14</f>
        <v>995.5782590586972</v>
      </c>
      <c r="S98" s="286">
        <f>AR98*'[2]Non EU income shifted to EU'!$AJ$15</f>
        <v>26578.412936729535</v>
      </c>
      <c r="T98" s="285">
        <f>AR98*'[2]Non EU income shifted to EU'!$AJ$16</f>
        <v>1690.5577092858205</v>
      </c>
      <c r="U98" s="285">
        <f>AR98*'[2]Non EU income shifted to EU'!$AJ$17</f>
        <v>-138.80997657838248</v>
      </c>
      <c r="V98" s="285">
        <f>AR98*'[2]Non EU income shifted to EU'!$AJ$18</f>
        <v>5297.4998722494938</v>
      </c>
      <c r="W98" s="280">
        <f>SUM(X98:Z98)</f>
        <v>93703.787683175644</v>
      </c>
      <c r="X98" s="279">
        <f>AJ98*'[2]Non-EU tax havens'!$O$8</f>
        <v>11479.528361509078</v>
      </c>
      <c r="Y98" s="278">
        <f>AE98*'[2]Non-EU tax havens'!$O$13</f>
        <v>82224.25932166657</v>
      </c>
      <c r="Z98" s="266"/>
      <c r="AA98" s="277">
        <f>+'[2]CDIS Table-4'!O110</f>
        <v>9.6767440901410859E-2</v>
      </c>
      <c r="AB98" s="52">
        <f>+AA98</f>
        <v>9.6767440901410859E-2</v>
      </c>
      <c r="AC98" s="52">
        <f t="shared" si="57"/>
        <v>0.21997399494925085</v>
      </c>
      <c r="AD98" s="52">
        <f>+AB98</f>
        <v>9.6767440901410859E-2</v>
      </c>
      <c r="AE98" s="52">
        <f t="shared" si="59"/>
        <v>0.29047889357239154</v>
      </c>
      <c r="AG98" s="277">
        <f t="shared" si="60"/>
        <v>9.6767440901410859E-2</v>
      </c>
      <c r="AH98" s="52">
        <f>+AG98</f>
        <v>9.6767440901410859E-2</v>
      </c>
      <c r="AI98" s="52">
        <f>+AH98</f>
        <v>9.6767440901410859E-2</v>
      </c>
      <c r="AJ98" s="52">
        <f t="shared" si="62"/>
        <v>0.72622134253148118</v>
      </c>
      <c r="AK98" s="257"/>
      <c r="AL98" s="277">
        <f>+'[2]CDIS Table-4'!U88</f>
        <v>0</v>
      </c>
      <c r="AM98" s="52">
        <f>+AL98</f>
        <v>0</v>
      </c>
      <c r="AN98" s="52">
        <f t="shared" si="64"/>
        <v>0</v>
      </c>
      <c r="AO98" s="52">
        <f>+AM98</f>
        <v>0</v>
      </c>
      <c r="AP98" s="52">
        <f t="shared" si="66"/>
        <v>0</v>
      </c>
      <c r="AQ98" s="52">
        <f>+AB98</f>
        <v>9.6767440901410859E-2</v>
      </c>
      <c r="AR98" s="52">
        <f>+AQ98/$AQ$99</f>
        <v>0.94327807209518211</v>
      </c>
      <c r="AS98" s="52">
        <f>+AD98</f>
        <v>9.6767440901410859E-2</v>
      </c>
      <c r="AT98" s="52">
        <f>+AS98/$AS$99</f>
        <v>0.94327807209518211</v>
      </c>
    </row>
    <row r="99" spans="3:46" ht="40" customHeight="1" x14ac:dyDescent="0.35">
      <c r="C99" s="339" t="s">
        <v>288</v>
      </c>
      <c r="D99" s="273">
        <f t="shared" ref="D99:Y99" si="71">SUMIF(D9:D98,"&gt;-999999")-D44</f>
        <v>137908.43051424163</v>
      </c>
      <c r="E99" s="272">
        <f t="shared" si="71"/>
        <v>80042.641371887381</v>
      </c>
      <c r="F99" s="275">
        <f t="shared" si="71"/>
        <v>7989.89631517624</v>
      </c>
      <c r="G99" s="269">
        <f t="shared" si="71"/>
        <v>986.67447064275689</v>
      </c>
      <c r="H99" s="269">
        <f t="shared" si="71"/>
        <v>7307.9746212943837</v>
      </c>
      <c r="I99" s="269">
        <f t="shared" si="71"/>
        <v>14638.082465558144</v>
      </c>
      <c r="J99" s="269">
        <f t="shared" si="71"/>
        <v>7820.4564007446515</v>
      </c>
      <c r="K99" s="269">
        <f t="shared" si="71"/>
        <v>41299.557098471159</v>
      </c>
      <c r="L99" s="272">
        <f t="shared" si="71"/>
        <v>61866.912675596366</v>
      </c>
      <c r="M99" s="275">
        <f t="shared" si="71"/>
        <v>11076.396336091981</v>
      </c>
      <c r="N99" s="274">
        <f t="shared" si="71"/>
        <v>50790.516339504378</v>
      </c>
      <c r="O99" s="273">
        <f t="shared" si="71"/>
        <v>936032.10190262261</v>
      </c>
      <c r="P99" s="272">
        <f t="shared" si="71"/>
        <v>384478.81099417974</v>
      </c>
      <c r="Q99" s="268">
        <f t="shared" si="71"/>
        <v>40048.491354856305</v>
      </c>
      <c r="R99" s="269">
        <f t="shared" si="71"/>
        <v>2538.7529923459215</v>
      </c>
      <c r="S99" s="269">
        <f t="shared" si="71"/>
        <v>141020.2200385356</v>
      </c>
      <c r="T99" s="269">
        <f t="shared" si="71"/>
        <v>90343.360700117701</v>
      </c>
      <c r="U99" s="269">
        <f t="shared" si="71"/>
        <v>4702.8119364819677</v>
      </c>
      <c r="V99" s="274">
        <f t="shared" si="71"/>
        <v>105825.17397184209</v>
      </c>
      <c r="W99" s="269">
        <f t="shared" si="71"/>
        <v>565393.97953201365</v>
      </c>
      <c r="X99" s="268">
        <f t="shared" si="71"/>
        <v>64193.813340093162</v>
      </c>
      <c r="Y99" s="267">
        <f t="shared" si="71"/>
        <v>502385.43416428764</v>
      </c>
      <c r="Z99" s="266"/>
      <c r="AF99" s="52"/>
      <c r="AG99" s="49"/>
      <c r="AH99" s="52"/>
      <c r="AI99" s="52"/>
      <c r="AJ99" s="52"/>
      <c r="AK99" s="52"/>
      <c r="AQ99" s="52">
        <f>+SUM(AQ9:AQ98)</f>
        <v>0.10258633563533795</v>
      </c>
      <c r="AR99" s="52">
        <f>+AQ99/$AB$104</f>
        <v>0.23320164165446033</v>
      </c>
      <c r="AS99" s="52">
        <f>+SUM(AS9:AS98)</f>
        <v>0.10258633563533795</v>
      </c>
      <c r="AT99" s="52">
        <f>+SUM(AT9:AT98)</f>
        <v>1</v>
      </c>
    </row>
    <row r="100" spans="3:46" ht="41" customHeight="1" thickBot="1" x14ac:dyDescent="0.4">
      <c r="C100" s="338" t="s">
        <v>387</v>
      </c>
      <c r="D100" s="263">
        <f>+E100+L100</f>
        <v>91640.515974124326</v>
      </c>
      <c r="E100" s="262">
        <f t="shared" ref="E100:N100" si="72">+E98+E44+E8</f>
        <v>56928.558085257697</v>
      </c>
      <c r="F100" s="259">
        <f t="shared" si="72"/>
        <v>6781.0391758136593</v>
      </c>
      <c r="G100" s="260">
        <f t="shared" si="72"/>
        <v>978.81194095678632</v>
      </c>
      <c r="H100" s="260">
        <f t="shared" si="72"/>
        <v>721.58727165257869</v>
      </c>
      <c r="I100" s="260">
        <f t="shared" si="72"/>
        <v>11075.956387315233</v>
      </c>
      <c r="J100" s="260">
        <f t="shared" si="72"/>
        <v>6844.6811590604038</v>
      </c>
      <c r="K100" s="260">
        <f t="shared" si="72"/>
        <v>30526.482150459029</v>
      </c>
      <c r="L100" s="262">
        <f t="shared" si="72"/>
        <v>34711.957888866629</v>
      </c>
      <c r="M100" s="259">
        <f t="shared" si="72"/>
        <v>6299.1181205998391</v>
      </c>
      <c r="N100" s="261">
        <f t="shared" si="72"/>
        <v>28412.839768266789</v>
      </c>
      <c r="O100" s="263">
        <f>+P100+W100</f>
        <v>721455.56473236717</v>
      </c>
      <c r="P100" s="262">
        <f t="shared" ref="P100:Y100" si="73">+P98+P44+P8</f>
        <v>301195.83730067249</v>
      </c>
      <c r="Q100" s="259">
        <f t="shared" si="73"/>
        <v>25006.861409730467</v>
      </c>
      <c r="R100" s="260">
        <f t="shared" si="73"/>
        <v>2383.7854774081202</v>
      </c>
      <c r="S100" s="260">
        <f t="shared" si="73"/>
        <v>127510.3915649758</v>
      </c>
      <c r="T100" s="260">
        <f t="shared" si="73"/>
        <v>74318.206059627671</v>
      </c>
      <c r="U100" s="260">
        <f t="shared" si="73"/>
        <v>3688.4311448923249</v>
      </c>
      <c r="V100" s="261">
        <f t="shared" si="73"/>
        <v>68288.161644038089</v>
      </c>
      <c r="W100" s="260">
        <f t="shared" si="73"/>
        <v>420259.72743169474</v>
      </c>
      <c r="X100" s="259">
        <f t="shared" si="73"/>
        <v>47062.932038619678</v>
      </c>
      <c r="Y100" s="258">
        <f t="shared" si="73"/>
        <v>373196.7953930751</v>
      </c>
      <c r="AG100" s="49"/>
      <c r="AH100" s="52"/>
      <c r="AI100" s="52"/>
      <c r="AJ100" s="52"/>
      <c r="AK100" s="52"/>
    </row>
    <row r="101" spans="3:46" s="257" customFormat="1" ht="16" thickTop="1" x14ac:dyDescent="0.35">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AG101" s="49">
        <f>+AA101</f>
        <v>0</v>
      </c>
      <c r="AH101" s="52">
        <f>+AG101</f>
        <v>0</v>
      </c>
      <c r="AI101" s="52">
        <f>+AH101</f>
        <v>0</v>
      </c>
      <c r="AJ101" s="52">
        <f>+AI101/$AI$104</f>
        <v>0</v>
      </c>
      <c r="AK101" s="52"/>
    </row>
    <row r="102" spans="3:46" ht="16" thickBot="1" x14ac:dyDescent="0.4">
      <c r="AG102" s="265"/>
    </row>
    <row r="103" spans="3:46" ht="16" thickBot="1" x14ac:dyDescent="0.4">
      <c r="C103" s="337" t="s">
        <v>402</v>
      </c>
      <c r="D103" s="336">
        <f t="shared" ref="D103:N103" si="74">D100/(D100+O100)</f>
        <v>0.1127056422341856</v>
      </c>
      <c r="E103" s="336">
        <f t="shared" si="74"/>
        <v>0.15896308327141201</v>
      </c>
      <c r="F103" s="336">
        <f t="shared" si="74"/>
        <v>0.21332139118672738</v>
      </c>
      <c r="G103" s="336">
        <f t="shared" si="74"/>
        <v>0.29108805461247944</v>
      </c>
      <c r="H103" s="336">
        <f t="shared" si="74"/>
        <v>5.6272021862183372E-3</v>
      </c>
      <c r="I103" s="336">
        <f t="shared" si="74"/>
        <v>0.12970390562934492</v>
      </c>
      <c r="J103" s="336">
        <f t="shared" si="74"/>
        <v>0.64982513824445043</v>
      </c>
      <c r="K103" s="336">
        <f t="shared" si="74"/>
        <v>0.3089267033532434</v>
      </c>
      <c r="L103" s="335">
        <f t="shared" si="74"/>
        <v>7.6294765166341011E-2</v>
      </c>
      <c r="M103" s="335">
        <f t="shared" si="74"/>
        <v>0.11804490460551621</v>
      </c>
      <c r="N103" s="335">
        <f t="shared" si="74"/>
        <v>7.074740564143156E-2</v>
      </c>
    </row>
    <row r="104" spans="3:46" x14ac:dyDescent="0.35">
      <c r="AA104" s="52"/>
      <c r="AB104" s="52">
        <f>+SUM(AB9:AB102)</f>
        <v>0.43990400285149894</v>
      </c>
      <c r="AC104" s="52">
        <f>+AB104/$AB$104</f>
        <v>1</v>
      </c>
      <c r="AD104" s="52">
        <f>+SUM(AD9:AD102)</f>
        <v>0.3331307129111431</v>
      </c>
      <c r="AE104" s="52">
        <f>SUM(AE9:AE102)</f>
        <v>1</v>
      </c>
      <c r="AG104" s="257"/>
      <c r="AH104" s="52">
        <f>+SUM(AH9:AH101)</f>
        <v>0.43990400285149894</v>
      </c>
      <c r="AI104" s="52">
        <f>+SUM(AI9:AI102)</f>
        <v>0.13324786154603555</v>
      </c>
      <c r="AJ104" s="52">
        <f>+SUM(AJ9:AJ102)</f>
        <v>1</v>
      </c>
      <c r="AK104" s="52"/>
      <c r="AL104" s="52"/>
      <c r="AM104" s="52" t="e">
        <f>+SUM(AM9:AM102)</f>
        <v>#REF!</v>
      </c>
      <c r="AN104" s="52" t="e">
        <f>+AM104/$AB$104</f>
        <v>#REF!</v>
      </c>
      <c r="AO104" s="52" t="e">
        <f>+SUM(AO9:AO102)</f>
        <v>#REF!</v>
      </c>
      <c r="AP104" s="52" t="e">
        <f>SUM(AP9:AP102)</f>
        <v>#REF!</v>
      </c>
    </row>
    <row r="105" spans="3:46" x14ac:dyDescent="0.35">
      <c r="AG105" s="257"/>
      <c r="AH105" s="257"/>
      <c r="AI105" s="257"/>
      <c r="AJ105" s="257"/>
      <c r="AK105" s="257"/>
    </row>
    <row r="106" spans="3:46" ht="20" x14ac:dyDescent="0.4">
      <c r="C106" s="1" t="s">
        <v>291</v>
      </c>
      <c r="D106" s="1"/>
      <c r="E106" s="545" t="s">
        <v>446</v>
      </c>
    </row>
    <row r="107" spans="3:46" x14ac:dyDescent="0.35">
      <c r="M107" s="256">
        <f>+M9+M13+M22++M12+M24+M26+M27+M30+M32+M33+M41+M43+M44+M98</f>
        <v>3979.8848768795579</v>
      </c>
    </row>
    <row r="108" spans="3:46" x14ac:dyDescent="0.35">
      <c r="M108" s="334">
        <f>+M99-M107</f>
        <v>7096.5114592124228</v>
      </c>
    </row>
  </sheetData>
  <mergeCells count="19">
    <mergeCell ref="AI8:AJ8"/>
    <mergeCell ref="AB7:AE7"/>
    <mergeCell ref="AA6:AV6"/>
    <mergeCell ref="AS8:AT8"/>
    <mergeCell ref="AB8:AC8"/>
    <mergeCell ref="AD8:AE8"/>
    <mergeCell ref="AQ8:AR8"/>
    <mergeCell ref="AM8:AN8"/>
    <mergeCell ref="AO8:AP8"/>
    <mergeCell ref="AG7:AJ7"/>
    <mergeCell ref="C3:Y3"/>
    <mergeCell ref="E6:E7"/>
    <mergeCell ref="L6:L7"/>
    <mergeCell ref="P6:P7"/>
    <mergeCell ref="W6:W7"/>
    <mergeCell ref="D6:D7"/>
    <mergeCell ref="O6:O7"/>
    <mergeCell ref="D5:N5"/>
    <mergeCell ref="O5:Y5"/>
  </mergeCells>
  <pageMargins left="0.7" right="0.7" top="0.75" bottom="0.75" header="0.3" footer="0.3"/>
  <pageSetup scale="31" orientation="landscape"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N94"/>
  <sheetViews>
    <sheetView zoomScale="85" zoomScaleNormal="85" zoomScalePageLayoutView="85" workbookViewId="0">
      <pane xSplit="2" ySplit="7" topLeftCell="C73" activePane="bottomRight" state="frozen"/>
      <selection activeCell="G29" sqref="G29"/>
      <selection pane="topRight" activeCell="G29" sqref="G29"/>
      <selection pane="bottomLeft" activeCell="G29" sqref="G29"/>
      <selection pane="bottomRight" activeCell="F52" sqref="F52"/>
    </sheetView>
  </sheetViews>
  <sheetFormatPr defaultColWidth="10.81640625" defaultRowHeight="15.5" x14ac:dyDescent="0.35"/>
  <cols>
    <col min="1" max="1" width="17.453125" style="253" hidden="1" customWidth="1"/>
    <col min="2" max="2" width="19" style="253" customWidth="1"/>
    <col min="3" max="13" width="12.81640625" style="253" customWidth="1"/>
    <col min="14" max="16384" width="10.81640625" style="253"/>
  </cols>
  <sheetData>
    <row r="1" spans="2:14" ht="16" thickBot="1" x14ac:dyDescent="0.4">
      <c r="M1" s="318"/>
    </row>
    <row r="2" spans="2:14" ht="16" hidden="1" thickBot="1" x14ac:dyDescent="0.4">
      <c r="E2" s="253">
        <v>2</v>
      </c>
      <c r="F2" s="253">
        <v>3</v>
      </c>
      <c r="G2" s="253">
        <v>4</v>
      </c>
      <c r="H2" s="253">
        <v>5</v>
      </c>
      <c r="I2" s="253">
        <v>6</v>
      </c>
      <c r="J2" s="253">
        <v>7</v>
      </c>
      <c r="L2" s="253">
        <v>8</v>
      </c>
      <c r="M2" s="253">
        <v>9</v>
      </c>
    </row>
    <row r="3" spans="2:14" ht="32" customHeight="1" thickTop="1" x14ac:dyDescent="0.35">
      <c r="B3" s="618" t="s">
        <v>407</v>
      </c>
      <c r="C3" s="619"/>
      <c r="D3" s="619"/>
      <c r="E3" s="619"/>
      <c r="F3" s="619"/>
      <c r="G3" s="619"/>
      <c r="H3" s="619"/>
      <c r="I3" s="619"/>
      <c r="J3" s="619"/>
      <c r="K3" s="619"/>
      <c r="L3" s="619"/>
      <c r="M3" s="620"/>
    </row>
    <row r="4" spans="2:14" ht="32" customHeight="1" x14ac:dyDescent="0.35">
      <c r="B4" s="333"/>
      <c r="C4" s="4" t="s">
        <v>1</v>
      </c>
      <c r="D4" s="4" t="s">
        <v>2</v>
      </c>
      <c r="E4" s="4" t="s">
        <v>3</v>
      </c>
      <c r="F4" s="4" t="s">
        <v>4</v>
      </c>
      <c r="G4" s="4" t="s">
        <v>5</v>
      </c>
      <c r="H4" s="4" t="s">
        <v>6</v>
      </c>
      <c r="I4" s="4" t="s">
        <v>7</v>
      </c>
      <c r="J4" s="4" t="s">
        <v>8</v>
      </c>
      <c r="K4" s="4" t="s">
        <v>9</v>
      </c>
      <c r="L4" s="4" t="s">
        <v>10</v>
      </c>
      <c r="M4" s="332" t="s">
        <v>12</v>
      </c>
    </row>
    <row r="5" spans="2:14" ht="21" customHeight="1" x14ac:dyDescent="0.35">
      <c r="B5" s="297"/>
      <c r="C5" s="632" t="s">
        <v>406</v>
      </c>
      <c r="D5" s="633"/>
      <c r="E5" s="633"/>
      <c r="F5" s="633"/>
      <c r="G5" s="633"/>
      <c r="H5" s="633"/>
      <c r="I5" s="633"/>
      <c r="J5" s="633"/>
      <c r="K5" s="633"/>
      <c r="L5" s="633"/>
      <c r="M5" s="634"/>
    </row>
    <row r="6" spans="2:14" ht="85" customHeight="1" x14ac:dyDescent="0.35">
      <c r="B6" s="297"/>
      <c r="C6" s="621" t="s">
        <v>398</v>
      </c>
      <c r="D6" s="621" t="s">
        <v>397</v>
      </c>
      <c r="E6" s="329" t="s">
        <v>34</v>
      </c>
      <c r="F6" s="329" t="s">
        <v>96</v>
      </c>
      <c r="G6" s="329" t="s">
        <v>46</v>
      </c>
      <c r="H6" s="329" t="s">
        <v>52</v>
      </c>
      <c r="I6" s="329" t="s">
        <v>109</v>
      </c>
      <c r="J6" s="329" t="s">
        <v>54</v>
      </c>
      <c r="K6" s="621" t="s">
        <v>396</v>
      </c>
      <c r="L6" s="329" t="s">
        <v>63</v>
      </c>
      <c r="M6" s="328" t="s">
        <v>395</v>
      </c>
      <c r="N6" s="266"/>
    </row>
    <row r="7" spans="2:14" ht="18" customHeight="1" x14ac:dyDescent="0.35">
      <c r="B7" s="297"/>
      <c r="C7" s="621"/>
      <c r="D7" s="621"/>
      <c r="E7" s="329"/>
      <c r="F7" s="329"/>
      <c r="G7" s="329"/>
      <c r="H7" s="329"/>
      <c r="I7" s="329"/>
      <c r="J7" s="329"/>
      <c r="K7" s="622"/>
      <c r="L7" s="329"/>
      <c r="M7" s="328"/>
      <c r="N7" s="266"/>
    </row>
    <row r="8" spans="2:14" ht="40" customHeight="1" x14ac:dyDescent="0.35">
      <c r="B8" s="327" t="s">
        <v>31</v>
      </c>
      <c r="C8" s="325">
        <f t="shared" ref="C8:M8" si="0">SUMIF(C9:C43,"&gt;-999999999")-(C11+C23+C29+C31)-C40</f>
        <v>1751575.2520845423</v>
      </c>
      <c r="D8" s="325">
        <f t="shared" si="0"/>
        <v>1054622.6474443628</v>
      </c>
      <c r="E8" s="324">
        <f t="shared" si="0"/>
        <v>128961.35844677093</v>
      </c>
      <c r="F8" s="324">
        <f t="shared" si="0"/>
        <v>3661.9613645212703</v>
      </c>
      <c r="G8" s="324">
        <f t="shared" si="0"/>
        <v>259313.02145023903</v>
      </c>
      <c r="H8" s="324">
        <f t="shared" si="0"/>
        <v>150579.65275902595</v>
      </c>
      <c r="I8" s="324">
        <f t="shared" si="0"/>
        <v>323.4562426734762</v>
      </c>
      <c r="J8" s="324">
        <f t="shared" si="0"/>
        <v>511783.19718113216</v>
      </c>
      <c r="K8" s="325">
        <f t="shared" si="0"/>
        <v>696952.60464017943</v>
      </c>
      <c r="L8" s="324">
        <f t="shared" si="0"/>
        <v>430943.28515948798</v>
      </c>
      <c r="M8" s="323">
        <f t="shared" si="0"/>
        <v>266009.3194806914</v>
      </c>
      <c r="N8" s="266"/>
    </row>
    <row r="9" spans="2:14" ht="14" customHeight="1" x14ac:dyDescent="0.35">
      <c r="B9" s="311" t="s">
        <v>32</v>
      </c>
      <c r="C9" s="308">
        <f t="shared" ref="C9:C43" si="1">+D9+K9</f>
        <v>5751.3045289728207</v>
      </c>
      <c r="D9" s="308">
        <f t="shared" ref="D9:D43" si="2">SUM(E9:J9)</f>
        <v>-510.18355296630523</v>
      </c>
      <c r="E9" s="281">
        <v>-615.9062407435307</v>
      </c>
      <c r="F9" s="281">
        <v>1.1876887982666315</v>
      </c>
      <c r="G9" s="281">
        <v>104.53499897895882</v>
      </c>
      <c r="H9" s="281">
        <v>0</v>
      </c>
      <c r="I9" s="281">
        <v>0</v>
      </c>
      <c r="J9" s="281">
        <v>0</v>
      </c>
      <c r="K9" s="308">
        <f t="shared" ref="K9:K43" si="3">+SUM(L9:M9)</f>
        <v>6261.4880819391255</v>
      </c>
      <c r="L9" s="290">
        <v>0</v>
      </c>
      <c r="M9" s="289">
        <v>6261.4880819391255</v>
      </c>
      <c r="N9" s="266"/>
    </row>
    <row r="10" spans="2:14" ht="14" customHeight="1" x14ac:dyDescent="0.35">
      <c r="B10" s="311" t="s">
        <v>33</v>
      </c>
      <c r="C10" s="308">
        <f t="shared" si="1"/>
        <v>7318.7924249048392</v>
      </c>
      <c r="D10" s="308">
        <f t="shared" si="2"/>
        <v>1217.7256328869876</v>
      </c>
      <c r="E10" s="281">
        <v>433.33276310420302</v>
      </c>
      <c r="F10" s="281">
        <v>0</v>
      </c>
      <c r="G10" s="281">
        <v>31.043161596114651</v>
      </c>
      <c r="H10" s="281">
        <v>0</v>
      </c>
      <c r="I10" s="281">
        <v>24.278676011084276</v>
      </c>
      <c r="J10" s="281">
        <v>729.07103217558551</v>
      </c>
      <c r="K10" s="308">
        <f t="shared" si="3"/>
        <v>6101.0667920178512</v>
      </c>
      <c r="L10" s="290">
        <v>5916.3417119005753</v>
      </c>
      <c r="M10" s="289">
        <v>184.72508011727587</v>
      </c>
      <c r="N10" s="266"/>
    </row>
    <row r="11" spans="2:14" ht="14" customHeight="1" x14ac:dyDescent="0.35">
      <c r="B11" s="311" t="s">
        <v>34</v>
      </c>
      <c r="C11" s="308">
        <f t="shared" si="1"/>
        <v>77227.403659880831</v>
      </c>
      <c r="D11" s="308">
        <f t="shared" si="2"/>
        <v>70582.422042409831</v>
      </c>
      <c r="E11" s="281">
        <v>20788.002304599999</v>
      </c>
      <c r="F11" s="281">
        <v>0</v>
      </c>
      <c r="G11" s="281">
        <v>597.283169100387</v>
      </c>
      <c r="H11" s="281">
        <v>2364.4478514807347</v>
      </c>
      <c r="I11" s="281">
        <v>3.3023002324771502</v>
      </c>
      <c r="J11" s="281">
        <v>46829.386416996225</v>
      </c>
      <c r="K11" s="308">
        <f t="shared" si="3"/>
        <v>6644.981617471004</v>
      </c>
      <c r="L11" s="290">
        <v>6082.885119108968</v>
      </c>
      <c r="M11" s="289">
        <v>562.09649836203607</v>
      </c>
      <c r="N11" s="266"/>
    </row>
    <row r="12" spans="2:14" ht="14" customHeight="1" x14ac:dyDescent="0.35">
      <c r="B12" s="311" t="s">
        <v>35</v>
      </c>
      <c r="C12" s="308">
        <f t="shared" si="1"/>
        <v>53961.816978863833</v>
      </c>
      <c r="D12" s="308">
        <f t="shared" si="2"/>
        <v>14156.0272973137</v>
      </c>
      <c r="E12" s="281">
        <v>-745.27540271346413</v>
      </c>
      <c r="F12" s="281">
        <v>0</v>
      </c>
      <c r="G12" s="281">
        <v>512.79770691542603</v>
      </c>
      <c r="H12" s="281">
        <v>12953.845602215399</v>
      </c>
      <c r="I12" s="281">
        <v>0</v>
      </c>
      <c r="J12" s="281">
        <v>1434.6593908963389</v>
      </c>
      <c r="K12" s="308">
        <f t="shared" si="3"/>
        <v>39805.78968155013</v>
      </c>
      <c r="L12" s="290">
        <v>32630.135823720724</v>
      </c>
      <c r="M12" s="289">
        <v>7175.6538578294058</v>
      </c>
      <c r="N12" s="266"/>
    </row>
    <row r="13" spans="2:14" ht="14" customHeight="1" x14ac:dyDescent="0.35">
      <c r="B13" s="311" t="s">
        <v>36</v>
      </c>
      <c r="C13" s="308">
        <f t="shared" si="1"/>
        <v>-343.04542126512609</v>
      </c>
      <c r="D13" s="308">
        <f t="shared" si="2"/>
        <v>-399.87876187403094</v>
      </c>
      <c r="E13" s="281">
        <v>-395.96937972779762</v>
      </c>
      <c r="F13" s="281">
        <v>0</v>
      </c>
      <c r="G13" s="281">
        <v>-25.057090527813411</v>
      </c>
      <c r="H13" s="281">
        <v>7.1182937871358636</v>
      </c>
      <c r="I13" s="281">
        <v>0</v>
      </c>
      <c r="J13" s="281">
        <v>14.029414594444203</v>
      </c>
      <c r="K13" s="308">
        <f t="shared" si="3"/>
        <v>56.833340608904848</v>
      </c>
      <c r="L13" s="290">
        <v>0</v>
      </c>
      <c r="M13" s="289">
        <v>56.833340608904848</v>
      </c>
      <c r="N13" s="266"/>
    </row>
    <row r="14" spans="2:14" ht="14" customHeight="1" x14ac:dyDescent="0.35">
      <c r="B14" s="311" t="s">
        <v>37</v>
      </c>
      <c r="C14" s="308">
        <f t="shared" si="1"/>
        <v>1551.0008039169954</v>
      </c>
      <c r="D14" s="308">
        <f t="shared" si="2"/>
        <v>1550.5597432151119</v>
      </c>
      <c r="E14" s="281">
        <v>1547.5407387583773</v>
      </c>
      <c r="F14" s="281">
        <v>0</v>
      </c>
      <c r="G14" s="281">
        <v>3.0190044567345171</v>
      </c>
      <c r="H14" s="281">
        <v>0</v>
      </c>
      <c r="I14" s="281">
        <v>0</v>
      </c>
      <c r="J14" s="281">
        <v>0</v>
      </c>
      <c r="K14" s="308">
        <f t="shared" si="3"/>
        <v>0.44106070188354352</v>
      </c>
      <c r="L14" s="290">
        <v>0</v>
      </c>
      <c r="M14" s="289">
        <v>0.44106070188354352</v>
      </c>
      <c r="N14" s="266"/>
    </row>
    <row r="15" spans="2:14" ht="14" customHeight="1" x14ac:dyDescent="0.35">
      <c r="B15" s="311" t="s">
        <v>38</v>
      </c>
      <c r="C15" s="308">
        <f t="shared" si="1"/>
        <v>11938.815067608886</v>
      </c>
      <c r="D15" s="308">
        <f t="shared" si="2"/>
        <v>6947.7556777800946</v>
      </c>
      <c r="E15" s="281">
        <v>688.75809239170087</v>
      </c>
      <c r="F15" s="281">
        <v>0.87803495095367745</v>
      </c>
      <c r="G15" s="281">
        <v>311.37174497136255</v>
      </c>
      <c r="H15" s="281">
        <v>0</v>
      </c>
      <c r="I15" s="281">
        <v>2.6393183847410779</v>
      </c>
      <c r="J15" s="281">
        <v>5944.1084870813365</v>
      </c>
      <c r="K15" s="308">
        <f t="shared" si="3"/>
        <v>4991.0593898287916</v>
      </c>
      <c r="L15" s="290">
        <v>2885.6897561444289</v>
      </c>
      <c r="M15" s="289">
        <v>2105.3696336843623</v>
      </c>
      <c r="N15" s="266"/>
    </row>
    <row r="16" spans="2:14" ht="14" customHeight="1" x14ac:dyDescent="0.35">
      <c r="B16" s="321" t="s">
        <v>39</v>
      </c>
      <c r="C16" s="308">
        <f t="shared" si="1"/>
        <v>-13.320891907351287</v>
      </c>
      <c r="D16" s="308">
        <f t="shared" si="2"/>
        <v>-13.320891907351287</v>
      </c>
      <c r="E16" s="281">
        <v>-13.342167683968011</v>
      </c>
      <c r="F16" s="281">
        <v>0</v>
      </c>
      <c r="G16" s="281">
        <v>0</v>
      </c>
      <c r="H16" s="281">
        <v>0</v>
      </c>
      <c r="I16" s="281">
        <v>2.1275776616723623E-2</v>
      </c>
      <c r="J16" s="281">
        <v>0</v>
      </c>
      <c r="K16" s="308">
        <f t="shared" si="3"/>
        <v>0</v>
      </c>
      <c r="L16" s="290">
        <v>0</v>
      </c>
      <c r="M16" s="289">
        <v>0</v>
      </c>
      <c r="N16" s="266"/>
    </row>
    <row r="17" spans="1:14" ht="14" customHeight="1" x14ac:dyDescent="0.35">
      <c r="B17" s="311" t="s">
        <v>40</v>
      </c>
      <c r="C17" s="308">
        <f t="shared" si="1"/>
        <v>7422.1405339289504</v>
      </c>
      <c r="D17" s="308">
        <f t="shared" si="2"/>
        <v>6702.4478420130827</v>
      </c>
      <c r="E17" s="281">
        <v>2869.2161758254474</v>
      </c>
      <c r="F17" s="281">
        <v>1.2132012951053943</v>
      </c>
      <c r="G17" s="281">
        <v>-53.71461390771826</v>
      </c>
      <c r="H17" s="281">
        <v>0</v>
      </c>
      <c r="I17" s="281">
        <v>0</v>
      </c>
      <c r="J17" s="281">
        <v>3885.7330788002478</v>
      </c>
      <c r="K17" s="308">
        <f t="shared" si="3"/>
        <v>719.69269191586739</v>
      </c>
      <c r="L17" s="290">
        <v>341.72397790533307</v>
      </c>
      <c r="M17" s="289">
        <v>377.96871401053431</v>
      </c>
      <c r="N17" s="266"/>
    </row>
    <row r="18" spans="1:14" ht="14" customHeight="1" x14ac:dyDescent="0.35">
      <c r="B18" s="321" t="s">
        <v>41</v>
      </c>
      <c r="C18" s="308">
        <f t="shared" si="1"/>
        <v>211426.84952728514</v>
      </c>
      <c r="D18" s="308">
        <f t="shared" si="2"/>
        <v>167111.73061028757</v>
      </c>
      <c r="E18" s="281">
        <v>129603.05769863859</v>
      </c>
      <c r="F18" s="281">
        <v>25.302012443013588</v>
      </c>
      <c r="G18" s="281">
        <v>4380.8156204039342</v>
      </c>
      <c r="H18" s="281">
        <v>-1059.5520526108169</v>
      </c>
      <c r="I18" s="281">
        <v>56.370290984260471</v>
      </c>
      <c r="J18" s="281">
        <v>34105.737040428598</v>
      </c>
      <c r="K18" s="308">
        <f t="shared" si="3"/>
        <v>44315.118916997555</v>
      </c>
      <c r="L18" s="290">
        <v>37780.597323555892</v>
      </c>
      <c r="M18" s="289">
        <v>6534.5215934416628</v>
      </c>
      <c r="N18" s="266"/>
    </row>
    <row r="19" spans="1:14" ht="14" customHeight="1" x14ac:dyDescent="0.35">
      <c r="B19" s="311" t="s">
        <v>42</v>
      </c>
      <c r="C19" s="308">
        <f t="shared" si="1"/>
        <v>117080.72903831323</v>
      </c>
      <c r="D19" s="308">
        <f t="shared" si="2"/>
        <v>83334.884111057312</v>
      </c>
      <c r="E19" s="281">
        <v>12670.048319309652</v>
      </c>
      <c r="F19" s="281">
        <v>2248.4638879098088</v>
      </c>
      <c r="G19" s="281">
        <v>867.31616177123362</v>
      </c>
      <c r="H19" s="281">
        <v>3212.6818336911897</v>
      </c>
      <c r="I19" s="281">
        <v>0</v>
      </c>
      <c r="J19" s="281">
        <v>64336.373908375426</v>
      </c>
      <c r="K19" s="308">
        <f t="shared" si="3"/>
        <v>33745.844927255923</v>
      </c>
      <c r="L19" s="290">
        <v>28481.744770550868</v>
      </c>
      <c r="M19" s="289">
        <v>5264.1001567050553</v>
      </c>
      <c r="N19" s="266"/>
    </row>
    <row r="20" spans="1:14" ht="14" customHeight="1" x14ac:dyDescent="0.35">
      <c r="B20" s="311" t="s">
        <v>43</v>
      </c>
      <c r="C20" s="308">
        <f t="shared" si="1"/>
        <v>1443.8093338526871</v>
      </c>
      <c r="D20" s="308">
        <f t="shared" si="2"/>
        <v>1441.1824464352067</v>
      </c>
      <c r="E20" s="281">
        <v>1064.1392372357113</v>
      </c>
      <c r="F20" s="281">
        <v>272.8383396111642</v>
      </c>
      <c r="G20" s="281">
        <v>10.338372525366655</v>
      </c>
      <c r="H20" s="281">
        <v>0</v>
      </c>
      <c r="I20" s="281">
        <v>0</v>
      </c>
      <c r="J20" s="281">
        <v>93.866497062964427</v>
      </c>
      <c r="K20" s="308">
        <f t="shared" si="3"/>
        <v>2.6268874174804751</v>
      </c>
      <c r="L20" s="290">
        <v>0</v>
      </c>
      <c r="M20" s="289">
        <v>2.6268874174804751</v>
      </c>
      <c r="N20" s="266"/>
    </row>
    <row r="21" spans="1:14" ht="14" customHeight="1" x14ac:dyDescent="0.35">
      <c r="B21" s="311" t="s">
        <v>44</v>
      </c>
      <c r="C21" s="308">
        <f t="shared" si="1"/>
        <v>1642.8486517275869</v>
      </c>
      <c r="D21" s="308">
        <f t="shared" si="2"/>
        <v>1619.9802880579182</v>
      </c>
      <c r="E21" s="281">
        <v>1273.275233362968</v>
      </c>
      <c r="F21" s="281">
        <v>0</v>
      </c>
      <c r="G21" s="281">
        <v>0</v>
      </c>
      <c r="H21" s="281">
        <v>291.13022871400608</v>
      </c>
      <c r="I21" s="281">
        <v>0</v>
      </c>
      <c r="J21" s="281">
        <v>55.57482598094397</v>
      </c>
      <c r="K21" s="308">
        <f t="shared" si="3"/>
        <v>22.868363669668724</v>
      </c>
      <c r="L21" s="290">
        <v>0</v>
      </c>
      <c r="M21" s="289">
        <v>22.868363669668724</v>
      </c>
      <c r="N21" s="266"/>
    </row>
    <row r="22" spans="1:14" ht="14" customHeight="1" x14ac:dyDescent="0.35">
      <c r="B22" s="311" t="s">
        <v>45</v>
      </c>
      <c r="C22" s="308">
        <f t="shared" si="1"/>
        <v>45.011783060774256</v>
      </c>
      <c r="D22" s="308">
        <f t="shared" si="2"/>
        <v>42.75702931559205</v>
      </c>
      <c r="E22" s="281">
        <v>42.591284040911582</v>
      </c>
      <c r="F22" s="281">
        <v>0.16574527468047132</v>
      </c>
      <c r="G22" s="281">
        <v>0</v>
      </c>
      <c r="H22" s="281">
        <v>0</v>
      </c>
      <c r="I22" s="281">
        <v>0</v>
      </c>
      <c r="J22" s="281">
        <v>0</v>
      </c>
      <c r="K22" s="308">
        <f t="shared" si="3"/>
        <v>2.2547537451822066</v>
      </c>
      <c r="L22" s="290">
        <v>0</v>
      </c>
      <c r="M22" s="289">
        <v>2.2547537451822066</v>
      </c>
      <c r="N22" s="266"/>
    </row>
    <row r="23" spans="1:14" ht="14" customHeight="1" x14ac:dyDescent="0.35">
      <c r="B23" s="311" t="s">
        <v>46</v>
      </c>
      <c r="C23" s="308">
        <f t="shared" si="1"/>
        <v>49321.082766263266</v>
      </c>
      <c r="D23" s="308">
        <f t="shared" si="2"/>
        <v>49106.659561809574</v>
      </c>
      <c r="E23" s="281">
        <v>-7702.2503961466</v>
      </c>
      <c r="F23" s="281">
        <v>8.2617583142837301</v>
      </c>
      <c r="G23" s="281">
        <v>15352.363185136815</v>
      </c>
      <c r="H23" s="281">
        <v>19108.017977024119</v>
      </c>
      <c r="I23" s="281">
        <v>0</v>
      </c>
      <c r="J23" s="281">
        <v>22340.267037480953</v>
      </c>
      <c r="K23" s="308">
        <f t="shared" si="3"/>
        <v>214.42320445369114</v>
      </c>
      <c r="L23" s="290">
        <v>0</v>
      </c>
      <c r="M23" s="289">
        <v>214.42320445369114</v>
      </c>
      <c r="N23" s="266"/>
    </row>
    <row r="24" spans="1:14" ht="14" customHeight="1" x14ac:dyDescent="0.35">
      <c r="B24" s="311" t="s">
        <v>47</v>
      </c>
      <c r="C24" s="308">
        <f t="shared" si="1"/>
        <v>1754.4086298838288</v>
      </c>
      <c r="D24" s="308">
        <f t="shared" si="2"/>
        <v>217.17041498534263</v>
      </c>
      <c r="E24" s="281">
        <v>-127.480499936223</v>
      </c>
      <c r="F24" s="281">
        <v>110.80752105681026</v>
      </c>
      <c r="G24" s="281">
        <v>78.134790238010439</v>
      </c>
      <c r="H24" s="281">
        <v>155.70860362674495</v>
      </c>
      <c r="I24" s="281">
        <v>0</v>
      </c>
      <c r="J24" s="281">
        <v>0</v>
      </c>
      <c r="K24" s="308">
        <f t="shared" si="3"/>
        <v>1537.2382148984861</v>
      </c>
      <c r="L24" s="290">
        <v>1311.7567452905103</v>
      </c>
      <c r="M24" s="289">
        <v>225.4814696079759</v>
      </c>
      <c r="N24" s="266"/>
    </row>
    <row r="25" spans="1:14" ht="14" customHeight="1" x14ac:dyDescent="0.35">
      <c r="B25" s="311" t="s">
        <v>48</v>
      </c>
      <c r="C25" s="308">
        <f t="shared" si="1"/>
        <v>12295.918666332425</v>
      </c>
      <c r="D25" s="308">
        <f t="shared" si="2"/>
        <v>8279.2378085001892</v>
      </c>
      <c r="E25" s="281">
        <v>831.62656857086438</v>
      </c>
      <c r="F25" s="281">
        <v>11.048642862847675</v>
      </c>
      <c r="G25" s="281">
        <v>2124.3154442421769</v>
      </c>
      <c r="H25" s="281">
        <v>-597.17046177811812</v>
      </c>
      <c r="I25" s="281">
        <v>84.314868692089362</v>
      </c>
      <c r="J25" s="281">
        <v>5825.1027459103288</v>
      </c>
      <c r="K25" s="308">
        <f t="shared" si="3"/>
        <v>4016.6808578322361</v>
      </c>
      <c r="L25" s="290">
        <v>3552.28115846539</v>
      </c>
      <c r="M25" s="289">
        <v>464.39969936684611</v>
      </c>
      <c r="N25" s="266"/>
    </row>
    <row r="26" spans="1:14" ht="14" customHeight="1" x14ac:dyDescent="0.35">
      <c r="B26" s="311" t="s">
        <v>49</v>
      </c>
      <c r="C26" s="308">
        <f t="shared" si="1"/>
        <v>63379.8102207966</v>
      </c>
      <c r="D26" s="308">
        <f t="shared" si="2"/>
        <v>27882.46846265455</v>
      </c>
      <c r="E26" s="281">
        <v>13875.26778368908</v>
      </c>
      <c r="F26" s="281">
        <v>0.10243480824884013</v>
      </c>
      <c r="G26" s="281">
        <v>413.02631758289124</v>
      </c>
      <c r="H26" s="281">
        <v>0</v>
      </c>
      <c r="I26" s="281">
        <v>0</v>
      </c>
      <c r="J26" s="281">
        <v>13594.07192657433</v>
      </c>
      <c r="K26" s="308">
        <f t="shared" si="3"/>
        <v>35497.341758142051</v>
      </c>
      <c r="L26" s="290">
        <v>10267.61553167849</v>
      </c>
      <c r="M26" s="289">
        <v>25229.726226463565</v>
      </c>
      <c r="N26" s="266"/>
    </row>
    <row r="27" spans="1:14" ht="14" customHeight="1" x14ac:dyDescent="0.35">
      <c r="A27" s="253" t="s">
        <v>298</v>
      </c>
      <c r="B27" s="311" t="s">
        <v>50</v>
      </c>
      <c r="C27" s="308">
        <f t="shared" si="1"/>
        <v>5141.6799102938876</v>
      </c>
      <c r="D27" s="308">
        <f t="shared" si="2"/>
        <v>2561.2355055777798</v>
      </c>
      <c r="E27" s="281">
        <v>1072.8952116912624</v>
      </c>
      <c r="F27" s="281">
        <v>4.5337791897297662E-2</v>
      </c>
      <c r="G27" s="281">
        <v>0</v>
      </c>
      <c r="H27" s="281">
        <v>0</v>
      </c>
      <c r="I27" s="281">
        <v>0</v>
      </c>
      <c r="J27" s="281">
        <v>1488.2949560946199</v>
      </c>
      <c r="K27" s="308">
        <f t="shared" si="3"/>
        <v>2580.4444047161078</v>
      </c>
      <c r="L27" s="290">
        <v>0</v>
      </c>
      <c r="M27" s="289">
        <v>2580.4444047161078</v>
      </c>
      <c r="N27" s="266"/>
    </row>
    <row r="28" spans="1:14" ht="14" customHeight="1" x14ac:dyDescent="0.35">
      <c r="B28" s="297" t="s">
        <v>51</v>
      </c>
      <c r="C28" s="308">
        <f t="shared" si="1"/>
        <v>-4.2620184009749282</v>
      </c>
      <c r="D28" s="308">
        <f t="shared" si="2"/>
        <v>-4.5411252294764637</v>
      </c>
      <c r="E28" s="281">
        <v>-5.8779063725395622</v>
      </c>
      <c r="F28" s="281">
        <v>1.3367811430630989</v>
      </c>
      <c r="G28" s="281">
        <v>0</v>
      </c>
      <c r="H28" s="281">
        <v>0</v>
      </c>
      <c r="I28" s="281"/>
      <c r="J28" s="281">
        <v>0</v>
      </c>
      <c r="K28" s="308">
        <f t="shared" si="3"/>
        <v>0.27910682850153545</v>
      </c>
      <c r="L28" s="290">
        <v>0</v>
      </c>
      <c r="M28" s="289">
        <v>0.27910682850153545</v>
      </c>
      <c r="N28" s="266"/>
    </row>
    <row r="29" spans="1:14" ht="14" customHeight="1" x14ac:dyDescent="0.35">
      <c r="B29" s="297" t="s">
        <v>52</v>
      </c>
      <c r="C29" s="308">
        <f t="shared" si="1"/>
        <v>97895.943290237556</v>
      </c>
      <c r="D29" s="308">
        <f t="shared" si="2"/>
        <v>73692.697455079891</v>
      </c>
      <c r="E29" s="281">
        <v>34534.949480493509</v>
      </c>
      <c r="F29" s="281">
        <v>0</v>
      </c>
      <c r="G29" s="281">
        <v>7307.021577140571</v>
      </c>
      <c r="H29" s="281">
        <v>11353.671380697848</v>
      </c>
      <c r="I29" s="281">
        <v>0</v>
      </c>
      <c r="J29" s="281">
        <v>20497.055016747963</v>
      </c>
      <c r="K29" s="308">
        <f t="shared" si="3"/>
        <v>24203.245835157664</v>
      </c>
      <c r="L29" s="290">
        <v>22456.171759956647</v>
      </c>
      <c r="M29" s="289">
        <v>1747.074075201017</v>
      </c>
      <c r="N29" s="266"/>
    </row>
    <row r="30" spans="1:14" ht="14" customHeight="1" x14ac:dyDescent="0.35">
      <c r="B30" s="297" t="s">
        <v>53</v>
      </c>
      <c r="C30" s="308">
        <f t="shared" si="1"/>
        <v>11941.637583040174</v>
      </c>
      <c r="D30" s="308">
        <f t="shared" si="2"/>
        <v>9875.5786568872227</v>
      </c>
      <c r="E30" s="281">
        <v>-2420.2689672782058</v>
      </c>
      <c r="F30" s="281">
        <v>5.9972282742800352E-4</v>
      </c>
      <c r="G30" s="281">
        <v>60.949648084594592</v>
      </c>
      <c r="H30" s="281">
        <v>0</v>
      </c>
      <c r="I30" s="281">
        <v>0</v>
      </c>
      <c r="J30" s="281">
        <v>12234.897376358007</v>
      </c>
      <c r="K30" s="308">
        <f t="shared" si="3"/>
        <v>2066.0589261529512</v>
      </c>
      <c r="L30" s="290">
        <v>0</v>
      </c>
      <c r="M30" s="289">
        <v>2066.0589261529512</v>
      </c>
      <c r="N30" s="266"/>
    </row>
    <row r="31" spans="1:14" ht="14" customHeight="1" x14ac:dyDescent="0.35">
      <c r="B31" s="297" t="s">
        <v>54</v>
      </c>
      <c r="C31" s="308">
        <f t="shared" si="1"/>
        <v>159709.27141464892</v>
      </c>
      <c r="D31" s="308">
        <f t="shared" si="2"/>
        <v>90747.933385031094</v>
      </c>
      <c r="E31" s="281">
        <v>37015.66453731605</v>
      </c>
      <c r="F31" s="281">
        <v>977.87459018250672</v>
      </c>
      <c r="G31" s="281">
        <v>7241.864399864744</v>
      </c>
      <c r="H31" s="281">
        <v>9152.7213614192351</v>
      </c>
      <c r="I31" s="281">
        <v>40.864565927558992</v>
      </c>
      <c r="J31" s="281">
        <v>36318.943930321002</v>
      </c>
      <c r="K31" s="308">
        <f t="shared" si="3"/>
        <v>68961.338029617822</v>
      </c>
      <c r="L31" s="290">
        <v>56497.637432704418</v>
      </c>
      <c r="M31" s="289">
        <v>12463.700596913404</v>
      </c>
      <c r="N31" s="266"/>
    </row>
    <row r="32" spans="1:14" ht="14" customHeight="1" x14ac:dyDescent="0.35">
      <c r="B32" s="297" t="s">
        <v>55</v>
      </c>
      <c r="C32" s="308">
        <f t="shared" si="1"/>
        <v>2181.5869325030612</v>
      </c>
      <c r="D32" s="308">
        <f t="shared" si="2"/>
        <v>-356.38484814082602</v>
      </c>
      <c r="E32" s="281">
        <v>-386.08379980683003</v>
      </c>
      <c r="F32" s="281">
        <v>0.65770219700894816</v>
      </c>
      <c r="G32" s="281">
        <v>29.041249468995034</v>
      </c>
      <c r="H32" s="281">
        <v>0</v>
      </c>
      <c r="I32" s="281">
        <v>0</v>
      </c>
      <c r="J32" s="281">
        <v>0</v>
      </c>
      <c r="K32" s="308">
        <f t="shared" si="3"/>
        <v>2537.9717806438871</v>
      </c>
      <c r="L32" s="290">
        <v>0</v>
      </c>
      <c r="M32" s="289">
        <v>2537.9717806438871</v>
      </c>
      <c r="N32" s="266"/>
    </row>
    <row r="33" spans="1:14" ht="14" customHeight="1" x14ac:dyDescent="0.35">
      <c r="B33" s="297" t="s">
        <v>56</v>
      </c>
      <c r="C33" s="308">
        <f t="shared" si="1"/>
        <v>17841.830948986506</v>
      </c>
      <c r="D33" s="308">
        <f t="shared" si="2"/>
        <v>12610.991648048961</v>
      </c>
      <c r="E33" s="281">
        <v>12160.414384293175</v>
      </c>
      <c r="F33" s="281">
        <v>0</v>
      </c>
      <c r="G33" s="281">
        <v>115.11282002981895</v>
      </c>
      <c r="H33" s="281">
        <v>0</v>
      </c>
      <c r="I33" s="281">
        <v>0</v>
      </c>
      <c r="J33" s="281">
        <v>335.46444372596585</v>
      </c>
      <c r="K33" s="308">
        <f t="shared" si="3"/>
        <v>5230.839300937545</v>
      </c>
      <c r="L33" s="290">
        <v>0</v>
      </c>
      <c r="M33" s="289">
        <v>5230.839300937545</v>
      </c>
      <c r="N33" s="266"/>
    </row>
    <row r="34" spans="1:14" ht="14" customHeight="1" x14ac:dyDescent="0.35">
      <c r="B34" s="297" t="s">
        <v>57</v>
      </c>
      <c r="C34" s="308">
        <f t="shared" si="1"/>
        <v>-8300.0134877695091</v>
      </c>
      <c r="D34" s="308">
        <f t="shared" si="2"/>
        <v>-8306.0486783043289</v>
      </c>
      <c r="E34" s="281">
        <v>-9819.6407950871999</v>
      </c>
      <c r="F34" s="281">
        <v>0</v>
      </c>
      <c r="G34" s="281">
        <v>-60.156873900061136</v>
      </c>
      <c r="H34" s="281">
        <v>0</v>
      </c>
      <c r="I34" s="281">
        <v>0</v>
      </c>
      <c r="J34" s="281">
        <v>1573.7489906829326</v>
      </c>
      <c r="K34" s="308">
        <f t="shared" si="3"/>
        <v>6.0351905348197761</v>
      </c>
      <c r="L34" s="290">
        <v>0</v>
      </c>
      <c r="M34" s="289">
        <v>6.0351905348197761</v>
      </c>
      <c r="N34" s="266"/>
    </row>
    <row r="35" spans="1:14" ht="14" customHeight="1" x14ac:dyDescent="0.35">
      <c r="B35" s="297" t="s">
        <v>58</v>
      </c>
      <c r="C35" s="308">
        <f t="shared" si="1"/>
        <v>913.12167095701648</v>
      </c>
      <c r="D35" s="308">
        <f t="shared" si="2"/>
        <v>10.430603019293073</v>
      </c>
      <c r="E35" s="281">
        <v>-513.62600494397748</v>
      </c>
      <c r="F35" s="281">
        <v>0.49172749178789138</v>
      </c>
      <c r="G35" s="281">
        <v>167.70241013896438</v>
      </c>
      <c r="H35" s="281">
        <v>0</v>
      </c>
      <c r="I35" s="281">
        <v>0</v>
      </c>
      <c r="J35" s="281">
        <v>355.86247033251828</v>
      </c>
      <c r="K35" s="308">
        <f t="shared" si="3"/>
        <v>902.69106793772335</v>
      </c>
      <c r="L35" s="290">
        <v>0</v>
      </c>
      <c r="M35" s="289">
        <v>902.69106793772335</v>
      </c>
      <c r="N35" s="266"/>
    </row>
    <row r="36" spans="1:14" ht="14" customHeight="1" x14ac:dyDescent="0.35">
      <c r="A36" s="253" t="s">
        <v>59</v>
      </c>
      <c r="B36" s="297" t="s">
        <v>293</v>
      </c>
      <c r="C36" s="308">
        <f t="shared" si="1"/>
        <v>295.3660782125985</v>
      </c>
      <c r="D36" s="308">
        <f t="shared" si="2"/>
        <v>283.7216173452324</v>
      </c>
      <c r="E36" s="281">
        <v>264.54930876521507</v>
      </c>
      <c r="F36" s="281">
        <v>0</v>
      </c>
      <c r="G36" s="281">
        <v>0</v>
      </c>
      <c r="H36" s="281">
        <v>0</v>
      </c>
      <c r="I36" s="281">
        <v>0</v>
      </c>
      <c r="J36" s="281">
        <v>19.172308580017337</v>
      </c>
      <c r="K36" s="308">
        <f t="shared" si="3"/>
        <v>11.644460867366092</v>
      </c>
      <c r="L36" s="290">
        <v>0</v>
      </c>
      <c r="M36" s="289">
        <v>11.644460867366092</v>
      </c>
      <c r="N36" s="266"/>
    </row>
    <row r="37" spans="1:14" ht="14" customHeight="1" x14ac:dyDescent="0.35">
      <c r="B37" s="297" t="s">
        <v>60</v>
      </c>
      <c r="C37" s="308">
        <f t="shared" si="1"/>
        <v>-23.17763931395919</v>
      </c>
      <c r="D37" s="308">
        <f t="shared" si="2"/>
        <v>-24.905432023456282</v>
      </c>
      <c r="E37" s="281">
        <v>-24.860545189177721</v>
      </c>
      <c r="F37" s="281">
        <v>-4.4886834278559232E-2</v>
      </c>
      <c r="G37" s="281">
        <v>0</v>
      </c>
      <c r="H37" s="281">
        <v>0</v>
      </c>
      <c r="I37" s="281">
        <v>0</v>
      </c>
      <c r="J37" s="281">
        <v>0</v>
      </c>
      <c r="K37" s="308">
        <f t="shared" si="3"/>
        <v>1.7277927094970913</v>
      </c>
      <c r="L37" s="290">
        <v>0</v>
      </c>
      <c r="M37" s="289">
        <v>1.7277927094970913</v>
      </c>
      <c r="N37" s="266"/>
    </row>
    <row r="38" spans="1:14" ht="14" customHeight="1" x14ac:dyDescent="0.35">
      <c r="B38" s="297" t="s">
        <v>61</v>
      </c>
      <c r="C38" s="308">
        <f t="shared" si="1"/>
        <v>10181.739415194243</v>
      </c>
      <c r="D38" s="308">
        <f t="shared" si="2"/>
        <v>3622.4207306510007</v>
      </c>
      <c r="E38" s="281">
        <v>-3066.2105270970255</v>
      </c>
      <c r="F38" s="281">
        <v>15.84816114101875</v>
      </c>
      <c r="G38" s="281">
        <v>2307.3896754350289</v>
      </c>
      <c r="H38" s="281">
        <v>-732.27055177521595</v>
      </c>
      <c r="I38" s="281">
        <v>9.2651582362935549</v>
      </c>
      <c r="J38" s="281">
        <v>5088.3988147109012</v>
      </c>
      <c r="K38" s="308">
        <f t="shared" si="3"/>
        <v>6559.3186845432419</v>
      </c>
      <c r="L38" s="290">
        <v>5567.2824289672672</v>
      </c>
      <c r="M38" s="289">
        <v>992.03625557597479</v>
      </c>
      <c r="N38" s="266"/>
    </row>
    <row r="39" spans="1:14" s="318" customFormat="1" ht="14" customHeight="1" x14ac:dyDescent="0.35">
      <c r="B39" s="317" t="s">
        <v>62</v>
      </c>
      <c r="C39" s="308">
        <f t="shared" si="1"/>
        <v>31146.006388506787</v>
      </c>
      <c r="D39" s="308">
        <f t="shared" si="2"/>
        <v>22127.550497897446</v>
      </c>
      <c r="E39" s="281">
        <v>11741.65564652445</v>
      </c>
      <c r="F39" s="281">
        <v>4.6620851891726627</v>
      </c>
      <c r="G39" s="281">
        <v>537.47488592858201</v>
      </c>
      <c r="H39" s="281">
        <v>209.25389308022665</v>
      </c>
      <c r="I39" s="281">
        <v>0</v>
      </c>
      <c r="J39" s="281">
        <v>9634.5039871750123</v>
      </c>
      <c r="K39" s="308">
        <f t="shared" si="3"/>
        <v>9018.4558906093389</v>
      </c>
      <c r="L39" s="290">
        <v>8735.6687563038304</v>
      </c>
      <c r="M39" s="289">
        <v>282.78713430550852</v>
      </c>
      <c r="N39" s="341"/>
    </row>
    <row r="40" spans="1:14" ht="14" customHeight="1" x14ac:dyDescent="0.35">
      <c r="B40" s="297" t="s">
        <v>63</v>
      </c>
      <c r="C40" s="308">
        <f t="shared" si="1"/>
        <v>55211.576234721724</v>
      </c>
      <c r="D40" s="308">
        <f t="shared" si="2"/>
        <v>45774.956453113162</v>
      </c>
      <c r="E40" s="281">
        <v>2080.9177681414535</v>
      </c>
      <c r="F40" s="281">
        <v>8.1678915044821601</v>
      </c>
      <c r="G40" s="281">
        <v>2200.5737200124231</v>
      </c>
      <c r="H40" s="281">
        <v>3383.4501356892692</v>
      </c>
      <c r="I40" s="281">
        <v>45.027409454487682</v>
      </c>
      <c r="J40" s="281">
        <v>38056.819528311047</v>
      </c>
      <c r="K40" s="308">
        <f t="shared" si="3"/>
        <v>9436.6197816085623</v>
      </c>
      <c r="L40" s="290">
        <v>0</v>
      </c>
      <c r="M40" s="289">
        <v>9436.6197816085623</v>
      </c>
      <c r="N40" s="266"/>
    </row>
    <row r="41" spans="1:14" ht="14" customHeight="1" x14ac:dyDescent="0.35">
      <c r="B41" s="297" t="s">
        <v>64</v>
      </c>
      <c r="C41" s="308">
        <f t="shared" si="1"/>
        <v>1537.4335278325104</v>
      </c>
      <c r="D41" s="308">
        <f t="shared" si="2"/>
        <v>1473.2650093428642</v>
      </c>
      <c r="E41" s="281">
        <v>61.264790593573771</v>
      </c>
      <c r="F41" s="281">
        <v>-1.9907452305176425E-2</v>
      </c>
      <c r="G41" s="281">
        <v>0</v>
      </c>
      <c r="H41" s="281">
        <v>0</v>
      </c>
      <c r="I41" s="281">
        <v>11.699414270835703</v>
      </c>
      <c r="J41" s="281">
        <v>1400.3207119307599</v>
      </c>
      <c r="K41" s="308">
        <f t="shared" si="3"/>
        <v>64.168518489646203</v>
      </c>
      <c r="L41" s="290">
        <v>0</v>
      </c>
      <c r="M41" s="289">
        <v>64.168518489646203</v>
      </c>
      <c r="N41" s="266"/>
    </row>
    <row r="42" spans="1:14" ht="14" customHeight="1" x14ac:dyDescent="0.35">
      <c r="B42" s="297" t="s">
        <v>65</v>
      </c>
      <c r="C42" s="308">
        <f t="shared" si="1"/>
        <v>178911.81455327503</v>
      </c>
      <c r="D42" s="308">
        <f t="shared" si="2"/>
        <v>127425.76276870121</v>
      </c>
      <c r="E42" s="281">
        <v>-7215.0931222393356</v>
      </c>
      <c r="F42" s="281">
        <v>966.97625512017873</v>
      </c>
      <c r="G42" s="281">
        <v>9845.1054887291903</v>
      </c>
      <c r="H42" s="281">
        <v>29627.559175909941</v>
      </c>
      <c r="I42" s="281">
        <v>125.68868391817556</v>
      </c>
      <c r="J42" s="281">
        <v>94075.52628726307</v>
      </c>
      <c r="K42" s="308">
        <f t="shared" si="3"/>
        <v>51486.051784573821</v>
      </c>
      <c r="L42" s="290">
        <v>27117.231554607602</v>
      </c>
      <c r="M42" s="289">
        <v>24368.820229966223</v>
      </c>
      <c r="N42" s="266"/>
    </row>
    <row r="43" spans="1:14" ht="14" customHeight="1" x14ac:dyDescent="0.35">
      <c r="B43" s="297" t="s">
        <v>66</v>
      </c>
      <c r="C43" s="308">
        <f t="shared" si="1"/>
        <v>1003153.5983449486</v>
      </c>
      <c r="D43" s="308">
        <f t="shared" si="2"/>
        <v>563743.02633283485</v>
      </c>
      <c r="E43" s="281">
        <v>-35888.639431204974</v>
      </c>
      <c r="F43" s="281">
        <v>0</v>
      </c>
      <c r="G43" s="281">
        <v>237552.46052707723</v>
      </c>
      <c r="H43" s="281">
        <v>106511.34819416545</v>
      </c>
      <c r="I43" s="281">
        <v>9.1785563993794046</v>
      </c>
      <c r="J43" s="281">
        <v>255558.67848639775</v>
      </c>
      <c r="K43" s="308">
        <f t="shared" si="3"/>
        <v>439410.57201211381</v>
      </c>
      <c r="L43" s="290">
        <v>266355.21562039707</v>
      </c>
      <c r="M43" s="289">
        <v>173055.35639171675</v>
      </c>
      <c r="N43" s="266"/>
    </row>
    <row r="44" spans="1:14" ht="40" customHeight="1" x14ac:dyDescent="0.35">
      <c r="B44" s="307" t="s">
        <v>67</v>
      </c>
      <c r="C44" s="304">
        <f t="shared" ref="C44:M44" si="4">+SUM(C45:C51)</f>
        <v>207789.78846278359</v>
      </c>
      <c r="D44" s="304">
        <f t="shared" si="4"/>
        <v>22170.092096658031</v>
      </c>
      <c r="E44" s="269">
        <f t="shared" si="4"/>
        <v>12356.026878230501</v>
      </c>
      <c r="F44" s="269">
        <f t="shared" si="4"/>
        <v>4051.7033510616852</v>
      </c>
      <c r="G44" s="269">
        <f t="shared" si="4"/>
        <v>-221.49061857383253</v>
      </c>
      <c r="H44" s="269">
        <f t="shared" si="4"/>
        <v>-605.76330637259639</v>
      </c>
      <c r="I44" s="269">
        <f t="shared" si="4"/>
        <v>0</v>
      </c>
      <c r="J44" s="269">
        <f t="shared" si="4"/>
        <v>6589.6157923122691</v>
      </c>
      <c r="K44" s="304">
        <f t="shared" si="4"/>
        <v>185619.69636612563</v>
      </c>
      <c r="L44" s="269">
        <f t="shared" si="4"/>
        <v>0</v>
      </c>
      <c r="M44" s="267">
        <f t="shared" si="4"/>
        <v>185619.69636612563</v>
      </c>
      <c r="N44" s="266"/>
    </row>
    <row r="45" spans="1:14" x14ac:dyDescent="0.35">
      <c r="B45" s="311" t="s">
        <v>68</v>
      </c>
      <c r="C45" s="308">
        <f t="shared" ref="C45:C88" si="5">+D45+K45</f>
        <v>22255.332501510988</v>
      </c>
      <c r="D45" s="308">
        <f t="shared" ref="D45:D51" si="6">SUM(E45:J45)</f>
        <v>21280.177618859641</v>
      </c>
      <c r="E45" s="281">
        <v>17705.220291142199</v>
      </c>
      <c r="F45" s="281">
        <v>1.9262341254779852E-2</v>
      </c>
      <c r="G45" s="281">
        <v>-166.6414552863763</v>
      </c>
      <c r="H45" s="281">
        <v>1601.6293248446195</v>
      </c>
      <c r="I45" s="281">
        <v>0</v>
      </c>
      <c r="J45" s="281">
        <v>2139.950195817943</v>
      </c>
      <c r="K45" s="308">
        <f t="shared" ref="K45:K51" si="7">+SUM(L45:M45)</f>
        <v>975.15488265134627</v>
      </c>
      <c r="L45" s="290">
        <v>0</v>
      </c>
      <c r="M45" s="289">
        <v>975.15488265134627</v>
      </c>
      <c r="N45" s="266"/>
    </row>
    <row r="46" spans="1:14" x14ac:dyDescent="0.35">
      <c r="A46" s="343" t="s">
        <v>69</v>
      </c>
      <c r="B46" s="297" t="s">
        <v>70</v>
      </c>
      <c r="C46" s="308">
        <f t="shared" si="5"/>
        <v>149504.8853445545</v>
      </c>
      <c r="D46" s="308">
        <f t="shared" si="6"/>
        <v>21.119639583179378</v>
      </c>
      <c r="E46" s="281">
        <v>-3233.462590341649</v>
      </c>
      <c r="F46" s="281">
        <v>43.26140806395388</v>
      </c>
      <c r="G46" s="281">
        <v>-47.743435304795341</v>
      </c>
      <c r="H46" s="281">
        <v>310.64859227388001</v>
      </c>
      <c r="I46" s="281">
        <v>0</v>
      </c>
      <c r="J46" s="281">
        <v>2948.4156648917897</v>
      </c>
      <c r="K46" s="308">
        <f t="shared" si="7"/>
        <v>149483.76570497133</v>
      </c>
      <c r="L46" s="290">
        <v>0</v>
      </c>
      <c r="M46" s="289">
        <v>149483.76570497133</v>
      </c>
      <c r="N46" s="266"/>
    </row>
    <row r="47" spans="1:14" x14ac:dyDescent="0.35">
      <c r="B47" s="297" t="s">
        <v>71</v>
      </c>
      <c r="C47" s="308">
        <f t="shared" si="5"/>
        <v>3281.1683549992799</v>
      </c>
      <c r="D47" s="308">
        <f t="shared" si="6"/>
        <v>-9.6820721270468759</v>
      </c>
      <c r="E47" s="281">
        <v>-9.7127999951406991</v>
      </c>
      <c r="F47" s="281">
        <v>3.0727868093823073E-2</v>
      </c>
      <c r="G47" s="281">
        <v>0</v>
      </c>
      <c r="H47" s="281">
        <v>0</v>
      </c>
      <c r="I47" s="281">
        <v>0</v>
      </c>
      <c r="J47" s="281">
        <v>0</v>
      </c>
      <c r="K47" s="308">
        <f t="shared" si="7"/>
        <v>3290.8504271263268</v>
      </c>
      <c r="L47" s="290">
        <v>0</v>
      </c>
      <c r="M47" s="289">
        <v>3290.8504271263268</v>
      </c>
      <c r="N47" s="266"/>
    </row>
    <row r="48" spans="1:14" x14ac:dyDescent="0.35">
      <c r="B48" s="297" t="s">
        <v>72</v>
      </c>
      <c r="C48" s="308">
        <f t="shared" si="5"/>
        <v>391.54700629603752</v>
      </c>
      <c r="D48" s="308">
        <f t="shared" si="6"/>
        <v>-4.8489462310344802</v>
      </c>
      <c r="E48" s="290">
        <v>-4.8563999975702998</v>
      </c>
      <c r="F48" s="290">
        <v>7.4537665358196262E-3</v>
      </c>
      <c r="G48" s="290">
        <v>0</v>
      </c>
      <c r="H48" s="290">
        <v>0</v>
      </c>
      <c r="I48" s="290">
        <v>0</v>
      </c>
      <c r="J48" s="290">
        <v>0</v>
      </c>
      <c r="K48" s="308">
        <f t="shared" si="7"/>
        <v>396.39595252707198</v>
      </c>
      <c r="L48" s="290">
        <v>0</v>
      </c>
      <c r="M48" s="289">
        <v>396.39595252707198</v>
      </c>
      <c r="N48" s="266"/>
    </row>
    <row r="49" spans="1:14" ht="14" customHeight="1" x14ac:dyDescent="0.35">
      <c r="B49" s="297" t="s">
        <v>73</v>
      </c>
      <c r="C49" s="308">
        <f t="shared" si="5"/>
        <v>15361.297585290473</v>
      </c>
      <c r="D49" s="308">
        <f t="shared" si="6"/>
        <v>94.674979832904555</v>
      </c>
      <c r="E49" s="281">
        <v>92.109593166567365</v>
      </c>
      <c r="F49" s="281">
        <v>2.5653866663371852</v>
      </c>
      <c r="G49" s="281">
        <v>0</v>
      </c>
      <c r="H49" s="281">
        <v>0</v>
      </c>
      <c r="I49" s="281">
        <v>0</v>
      </c>
      <c r="J49" s="281">
        <v>0</v>
      </c>
      <c r="K49" s="308">
        <f t="shared" si="7"/>
        <v>15266.622605457569</v>
      </c>
      <c r="L49" s="290">
        <v>0</v>
      </c>
      <c r="M49" s="289">
        <v>15266.622605457569</v>
      </c>
      <c r="N49" s="266"/>
    </row>
    <row r="50" spans="1:14" ht="14" customHeight="1" x14ac:dyDescent="0.35">
      <c r="A50" s="343" t="s">
        <v>75</v>
      </c>
      <c r="B50" s="297" t="s">
        <v>74</v>
      </c>
      <c r="C50" s="308">
        <f t="shared" si="5"/>
        <v>2479.6631017541658</v>
      </c>
      <c r="D50" s="308">
        <f t="shared" si="6"/>
        <v>2357.9721290491707</v>
      </c>
      <c r="E50" s="281">
        <v>-612.51301653476582</v>
      </c>
      <c r="F50" s="281">
        <v>3992.3077904930865</v>
      </c>
      <c r="G50" s="281">
        <v>-5.0313530205898207</v>
      </c>
      <c r="H50" s="281">
        <v>-2518.0412234910959</v>
      </c>
      <c r="I50" s="281">
        <v>0</v>
      </c>
      <c r="J50" s="281">
        <v>1501.2499316025358</v>
      </c>
      <c r="K50" s="308">
        <f t="shared" si="7"/>
        <v>121.69097270499515</v>
      </c>
      <c r="L50" s="290">
        <v>0</v>
      </c>
      <c r="M50" s="289">
        <v>121.69097270499515</v>
      </c>
      <c r="N50" s="266"/>
    </row>
    <row r="51" spans="1:14" ht="14" customHeight="1" x14ac:dyDescent="0.35">
      <c r="B51" s="297" t="s">
        <v>76</v>
      </c>
      <c r="C51" s="308">
        <f t="shared" si="5"/>
        <v>14515.894568378182</v>
      </c>
      <c r="D51" s="308">
        <f t="shared" si="6"/>
        <v>-1569.3212523087877</v>
      </c>
      <c r="E51" s="281">
        <v>-1580.75819920914</v>
      </c>
      <c r="F51" s="281">
        <v>13.511321862423356</v>
      </c>
      <c r="G51" s="281">
        <v>-2.0743749620710741</v>
      </c>
      <c r="H51" s="281">
        <v>0</v>
      </c>
      <c r="I51" s="281">
        <v>0</v>
      </c>
      <c r="J51" s="281">
        <v>0</v>
      </c>
      <c r="K51" s="308">
        <f t="shared" si="7"/>
        <v>16085.21582068697</v>
      </c>
      <c r="L51" s="290">
        <v>0</v>
      </c>
      <c r="M51" s="289">
        <v>16085.21582068697</v>
      </c>
      <c r="N51" s="266"/>
    </row>
    <row r="52" spans="1:14" ht="40" customHeight="1" x14ac:dyDescent="0.35">
      <c r="B52" s="307" t="s">
        <v>77</v>
      </c>
      <c r="C52" s="305">
        <f t="shared" si="5"/>
        <v>386836.76953536895</v>
      </c>
      <c r="D52" s="293">
        <f t="shared" ref="D52:M52" si="8">+SUM(D53:D88)</f>
        <v>93746.188854985419</v>
      </c>
      <c r="E52" s="269">
        <f t="shared" si="8"/>
        <v>5117.7426292332102</v>
      </c>
      <c r="F52" s="269">
        <f t="shared" si="8"/>
        <v>2760.3769895008863</v>
      </c>
      <c r="G52" s="269">
        <f t="shared" si="8"/>
        <v>15204.420168688473</v>
      </c>
      <c r="H52" s="303">
        <f t="shared" si="8"/>
        <v>26842.336063761708</v>
      </c>
      <c r="I52" s="303">
        <f t="shared" si="8"/>
        <v>1156.0654949586703</v>
      </c>
      <c r="J52" s="303">
        <f t="shared" si="8"/>
        <v>42665.247508842469</v>
      </c>
      <c r="K52" s="304">
        <f t="shared" si="8"/>
        <v>293090.58068038354</v>
      </c>
      <c r="L52" s="303">
        <f t="shared" si="8"/>
        <v>0</v>
      </c>
      <c r="M52" s="302">
        <f t="shared" si="8"/>
        <v>293090.58068038354</v>
      </c>
      <c r="N52" s="266"/>
    </row>
    <row r="53" spans="1:14" ht="14" customHeight="1" x14ac:dyDescent="0.35">
      <c r="B53" s="297" t="s">
        <v>78</v>
      </c>
      <c r="C53" s="308">
        <f t="shared" si="5"/>
        <v>2.4230958874476558</v>
      </c>
      <c r="D53" s="293">
        <f t="shared" ref="D53:D90" si="9">SUM(E53:J53)</f>
        <v>7.2045163267565493E-2</v>
      </c>
      <c r="E53" s="292">
        <v>0</v>
      </c>
      <c r="F53" s="292">
        <v>7.2045163267565493E-2</v>
      </c>
      <c r="G53" s="292">
        <v>0</v>
      </c>
      <c r="H53" s="290">
        <v>0</v>
      </c>
      <c r="I53" s="290">
        <v>0</v>
      </c>
      <c r="J53" s="290">
        <v>0</v>
      </c>
      <c r="K53" s="296">
        <f t="shared" ref="K53:K88" si="10">+SUM(L53:M53)</f>
        <v>2.3510507241800904</v>
      </c>
      <c r="L53" s="290">
        <v>0</v>
      </c>
      <c r="M53" s="289">
        <v>2.3510507241800904</v>
      </c>
      <c r="N53" s="266"/>
    </row>
    <row r="54" spans="1:14" ht="14" customHeight="1" x14ac:dyDescent="0.35">
      <c r="B54" s="297" t="s">
        <v>79</v>
      </c>
      <c r="C54" s="308">
        <f t="shared" si="5"/>
        <v>213.58223370985496</v>
      </c>
      <c r="D54" s="293">
        <f t="shared" si="9"/>
        <v>9.0370808639742266E-3</v>
      </c>
      <c r="E54" s="292">
        <v>0</v>
      </c>
      <c r="F54" s="292">
        <v>9.0370808639742266E-3</v>
      </c>
      <c r="G54" s="292">
        <v>0</v>
      </c>
      <c r="H54" s="290">
        <v>0</v>
      </c>
      <c r="I54" s="290">
        <v>0</v>
      </c>
      <c r="J54" s="290">
        <v>0</v>
      </c>
      <c r="K54" s="296">
        <f t="shared" si="10"/>
        <v>213.57319662899098</v>
      </c>
      <c r="L54" s="290">
        <v>0</v>
      </c>
      <c r="M54" s="289">
        <v>213.57319662899098</v>
      </c>
      <c r="N54" s="266"/>
    </row>
    <row r="55" spans="1:14" ht="14" customHeight="1" x14ac:dyDescent="0.35">
      <c r="B55" s="297" t="str">
        <f>+[3]TableA1!A56</f>
        <v>Antigua and Barbuda</v>
      </c>
      <c r="C55" s="308">
        <f t="shared" si="5"/>
        <v>13.266053840261437</v>
      </c>
      <c r="D55" s="293">
        <f t="shared" si="9"/>
        <v>2.7753790269925284E-2</v>
      </c>
      <c r="E55" s="292">
        <v>0</v>
      </c>
      <c r="F55" s="292">
        <v>2.7753790269925284E-2</v>
      </c>
      <c r="G55" s="292">
        <v>0</v>
      </c>
      <c r="H55" s="290">
        <v>0</v>
      </c>
      <c r="I55" s="290">
        <v>0</v>
      </c>
      <c r="J55" s="290">
        <v>0</v>
      </c>
      <c r="K55" s="296">
        <f t="shared" si="10"/>
        <v>13.238300049991512</v>
      </c>
      <c r="L55" s="290">
        <v>0</v>
      </c>
      <c r="M55" s="289">
        <v>13.238300049991512</v>
      </c>
      <c r="N55" s="266"/>
    </row>
    <row r="56" spans="1:14" ht="14" customHeight="1" x14ac:dyDescent="0.35">
      <c r="B56" s="297" t="s">
        <v>81</v>
      </c>
      <c r="C56" s="308">
        <f t="shared" si="5"/>
        <v>123.33728275211953</v>
      </c>
      <c r="D56" s="293">
        <f t="shared" si="9"/>
        <v>0</v>
      </c>
      <c r="E56" s="292">
        <v>0</v>
      </c>
      <c r="F56" s="292">
        <v>0</v>
      </c>
      <c r="G56" s="292">
        <v>0</v>
      </c>
      <c r="H56" s="290">
        <v>0</v>
      </c>
      <c r="I56" s="290">
        <v>0</v>
      </c>
      <c r="J56" s="290">
        <v>0</v>
      </c>
      <c r="K56" s="296">
        <f t="shared" si="10"/>
        <v>123.33728275211953</v>
      </c>
      <c r="L56" s="290">
        <v>0</v>
      </c>
      <c r="M56" s="289">
        <v>123.33728275211953</v>
      </c>
      <c r="N56" s="266"/>
    </row>
    <row r="57" spans="1:14" ht="14" customHeight="1" x14ac:dyDescent="0.35">
      <c r="A57" s="343" t="s">
        <v>82</v>
      </c>
      <c r="B57" s="297" t="s">
        <v>83</v>
      </c>
      <c r="C57" s="308">
        <f t="shared" si="5"/>
        <v>1544.8356546338973</v>
      </c>
      <c r="D57" s="293">
        <f t="shared" si="9"/>
        <v>390.86531552018306</v>
      </c>
      <c r="E57" s="292">
        <v>0</v>
      </c>
      <c r="F57" s="292">
        <v>0</v>
      </c>
      <c r="G57" s="292">
        <v>0</v>
      </c>
      <c r="H57" s="290">
        <v>390.86531552018306</v>
      </c>
      <c r="I57" s="290">
        <v>0</v>
      </c>
      <c r="J57" s="290">
        <v>0</v>
      </c>
      <c r="K57" s="296">
        <f t="shared" si="10"/>
        <v>1153.9703391137143</v>
      </c>
      <c r="L57" s="290">
        <v>0</v>
      </c>
      <c r="M57" s="289">
        <v>1153.9703391137143</v>
      </c>
      <c r="N57" s="266"/>
    </row>
    <row r="58" spans="1:14" ht="14" customHeight="1" x14ac:dyDescent="0.35">
      <c r="A58" s="343" t="s">
        <v>84</v>
      </c>
      <c r="B58" s="297" t="s">
        <v>85</v>
      </c>
      <c r="C58" s="308">
        <f t="shared" si="5"/>
        <v>811.20778638926799</v>
      </c>
      <c r="D58" s="293">
        <f t="shared" si="9"/>
        <v>-192.90087561766276</v>
      </c>
      <c r="E58" s="292">
        <v>-199.11239990038001</v>
      </c>
      <c r="F58" s="292">
        <v>6.6724964965108207</v>
      </c>
      <c r="G58" s="292">
        <v>-0.46097221379357206</v>
      </c>
      <c r="H58" s="290">
        <v>0</v>
      </c>
      <c r="I58" s="290">
        <v>0</v>
      </c>
      <c r="J58" s="290">
        <v>0</v>
      </c>
      <c r="K58" s="296">
        <f t="shared" si="10"/>
        <v>1004.1086620069308</v>
      </c>
      <c r="L58" s="290">
        <v>0</v>
      </c>
      <c r="M58" s="289">
        <v>1004.1086620069308</v>
      </c>
      <c r="N58" s="266"/>
    </row>
    <row r="59" spans="1:14" ht="14" customHeight="1" x14ac:dyDescent="0.35">
      <c r="B59" s="297" t="str">
        <f>+[3]TableA1!A60</f>
        <v>Barbados</v>
      </c>
      <c r="C59" s="308">
        <f t="shared" si="5"/>
        <v>216.25147493540092</v>
      </c>
      <c r="D59" s="293">
        <f t="shared" si="9"/>
        <v>23.79012539556178</v>
      </c>
      <c r="E59" s="292">
        <v>0</v>
      </c>
      <c r="F59" s="292">
        <v>13.372153363827056</v>
      </c>
      <c r="G59" s="292">
        <v>10.417972031734726</v>
      </c>
      <c r="H59" s="290">
        <v>0</v>
      </c>
      <c r="I59" s="290">
        <v>0</v>
      </c>
      <c r="J59" s="290">
        <v>0</v>
      </c>
      <c r="K59" s="296">
        <f t="shared" si="10"/>
        <v>192.46134953983915</v>
      </c>
      <c r="L59" s="290">
        <v>0</v>
      </c>
      <c r="M59" s="289">
        <v>192.46134953983915</v>
      </c>
      <c r="N59" s="266"/>
    </row>
    <row r="60" spans="1:14" ht="14" customHeight="1" x14ac:dyDescent="0.35">
      <c r="B60" s="297" t="s">
        <v>87</v>
      </c>
      <c r="C60" s="308">
        <f t="shared" si="5"/>
        <v>5.266852257878341</v>
      </c>
      <c r="D60" s="293">
        <f t="shared" si="9"/>
        <v>8.065746991227575E-2</v>
      </c>
      <c r="E60" s="292">
        <v>0</v>
      </c>
      <c r="F60" s="292">
        <v>0</v>
      </c>
      <c r="G60" s="292">
        <v>0</v>
      </c>
      <c r="H60" s="290">
        <v>0</v>
      </c>
      <c r="I60" s="290">
        <v>8.065746991227575E-2</v>
      </c>
      <c r="J60" s="290">
        <v>0</v>
      </c>
      <c r="K60" s="296">
        <f t="shared" si="10"/>
        <v>5.1861947879660653</v>
      </c>
      <c r="L60" s="290">
        <v>0</v>
      </c>
      <c r="M60" s="289">
        <v>5.1861947879660653</v>
      </c>
      <c r="N60" s="266"/>
    </row>
    <row r="61" spans="1:14" ht="14" customHeight="1" x14ac:dyDescent="0.35">
      <c r="B61" s="297" t="s">
        <v>88</v>
      </c>
      <c r="C61" s="308">
        <f t="shared" si="5"/>
        <v>69457.285062833456</v>
      </c>
      <c r="D61" s="293">
        <f t="shared" si="9"/>
        <v>45189.249403021218</v>
      </c>
      <c r="E61" s="292">
        <v>0</v>
      </c>
      <c r="F61" s="292">
        <v>0</v>
      </c>
      <c r="G61" s="292">
        <v>12238.812276219338</v>
      </c>
      <c r="H61" s="290">
        <v>7295.2314096845521</v>
      </c>
      <c r="I61" s="290">
        <v>0</v>
      </c>
      <c r="J61" s="290">
        <v>25655.205717117329</v>
      </c>
      <c r="K61" s="296">
        <f t="shared" si="10"/>
        <v>24268.035659812238</v>
      </c>
      <c r="L61" s="290">
        <v>0</v>
      </c>
      <c r="M61" s="289">
        <v>24268.035659812238</v>
      </c>
      <c r="N61" s="266"/>
    </row>
    <row r="62" spans="1:14" ht="14" customHeight="1" x14ac:dyDescent="0.35">
      <c r="A62" s="343" t="s">
        <v>352</v>
      </c>
      <c r="B62" s="297" t="s">
        <v>90</v>
      </c>
      <c r="C62" s="308">
        <f t="shared" si="5"/>
        <v>-5.3465463947633669</v>
      </c>
      <c r="D62" s="293">
        <f t="shared" si="9"/>
        <v>0</v>
      </c>
      <c r="E62" s="292">
        <v>0</v>
      </c>
      <c r="F62" s="292">
        <v>0</v>
      </c>
      <c r="G62" s="292">
        <v>0</v>
      </c>
      <c r="H62" s="290">
        <v>0</v>
      </c>
      <c r="I62" s="290">
        <v>0</v>
      </c>
      <c r="J62" s="290">
        <v>0</v>
      </c>
      <c r="K62" s="296">
        <f t="shared" si="10"/>
        <v>-5.3465463947633669</v>
      </c>
      <c r="L62" s="290">
        <v>0</v>
      </c>
      <c r="M62" s="289">
        <v>-5.3465463947633669</v>
      </c>
      <c r="N62" s="266"/>
    </row>
    <row r="63" spans="1:14" ht="14" customHeight="1" x14ac:dyDescent="0.35">
      <c r="A63" s="343" t="s">
        <v>405</v>
      </c>
      <c r="B63" s="297" t="s">
        <v>329</v>
      </c>
      <c r="C63" s="308">
        <f t="shared" si="5"/>
        <v>155035.98067250533</v>
      </c>
      <c r="D63" s="293">
        <f t="shared" si="9"/>
        <v>5269.6923767666385</v>
      </c>
      <c r="E63" s="292">
        <v>44.921699977526004</v>
      </c>
      <c r="F63" s="292">
        <v>947.17370135434703</v>
      </c>
      <c r="G63" s="292">
        <v>0</v>
      </c>
      <c r="H63" s="290">
        <v>4206.9428079563804</v>
      </c>
      <c r="I63" s="290">
        <v>0</v>
      </c>
      <c r="J63" s="290">
        <v>70.654167478384963</v>
      </c>
      <c r="K63" s="296">
        <f t="shared" si="10"/>
        <v>149766.28829573869</v>
      </c>
      <c r="L63" s="290">
        <v>0</v>
      </c>
      <c r="M63" s="289">
        <v>149766.28829573869</v>
      </c>
      <c r="N63" s="266"/>
    </row>
    <row r="64" spans="1:14" ht="14" customHeight="1" x14ac:dyDescent="0.35">
      <c r="B64" s="301" t="s">
        <v>93</v>
      </c>
      <c r="C64" s="308">
        <f t="shared" si="5"/>
        <v>56964.833106419734</v>
      </c>
      <c r="D64" s="293">
        <f t="shared" si="9"/>
        <v>13256.949435024355</v>
      </c>
      <c r="E64" s="292">
        <v>116.55359994169</v>
      </c>
      <c r="F64" s="292">
        <v>0</v>
      </c>
      <c r="G64" s="292">
        <v>1975.9573944261465</v>
      </c>
      <c r="H64" s="290">
        <v>5047.5296945826385</v>
      </c>
      <c r="I64" s="290">
        <v>0</v>
      </c>
      <c r="J64" s="290">
        <v>6116.9087460738792</v>
      </c>
      <c r="K64" s="296">
        <f t="shared" si="10"/>
        <v>43707.883671395379</v>
      </c>
      <c r="L64" s="290">
        <v>0</v>
      </c>
      <c r="M64" s="289">
        <v>43707.883671395379</v>
      </c>
      <c r="N64" s="266"/>
    </row>
    <row r="65" spans="1:14" ht="14" customHeight="1" x14ac:dyDescent="0.35">
      <c r="B65" s="297" t="s">
        <v>95</v>
      </c>
      <c r="C65" s="308">
        <f t="shared" si="5"/>
        <v>115.53068522180237</v>
      </c>
      <c r="D65" s="293">
        <f t="shared" si="9"/>
        <v>-15.625466992182631</v>
      </c>
      <c r="E65" s="292">
        <v>-15.625466992182631</v>
      </c>
      <c r="F65" s="292">
        <v>0</v>
      </c>
      <c r="G65" s="292">
        <v>0</v>
      </c>
      <c r="H65" s="290">
        <v>0</v>
      </c>
      <c r="I65" s="290">
        <v>0</v>
      </c>
      <c r="J65" s="290">
        <v>0</v>
      </c>
      <c r="K65" s="296">
        <f t="shared" si="10"/>
        <v>131.156152213985</v>
      </c>
      <c r="L65" s="290">
        <v>0</v>
      </c>
      <c r="M65" s="289">
        <v>131.156152213985</v>
      </c>
      <c r="N65" s="266"/>
    </row>
    <row r="66" spans="1:14" ht="14" customHeight="1" x14ac:dyDescent="0.35">
      <c r="B66" s="297" t="str">
        <f>+[3]TableA1!A67</f>
        <v>Cyprus</v>
      </c>
      <c r="C66" s="308">
        <f t="shared" si="5"/>
        <v>7272.0437159187277</v>
      </c>
      <c r="D66" s="293">
        <f t="shared" si="9"/>
        <v>6685.621793657202</v>
      </c>
      <c r="E66" s="292">
        <v>511.86027526694767</v>
      </c>
      <c r="F66" s="292">
        <v>1703.0350937789067</v>
      </c>
      <c r="G66" s="292">
        <v>42.526332755038055</v>
      </c>
      <c r="H66" s="290">
        <v>413.60010672989881</v>
      </c>
      <c r="I66" s="290">
        <v>9.9983183989815156</v>
      </c>
      <c r="J66" s="290">
        <v>4004.6016667274293</v>
      </c>
      <c r="K66" s="296">
        <f t="shared" si="10"/>
        <v>586.42192226152565</v>
      </c>
      <c r="L66" s="290">
        <v>0</v>
      </c>
      <c r="M66" s="289">
        <v>586.42192226152565</v>
      </c>
      <c r="N66" s="266"/>
    </row>
    <row r="67" spans="1:14" ht="14" customHeight="1" x14ac:dyDescent="0.35">
      <c r="B67" s="297" t="s">
        <v>97</v>
      </c>
      <c r="C67" s="308">
        <f t="shared" si="5"/>
        <v>3383.267548608057</v>
      </c>
      <c r="D67" s="293">
        <f t="shared" si="9"/>
        <v>2893.9692759729851</v>
      </c>
      <c r="E67" s="292">
        <v>-15.518602577421515</v>
      </c>
      <c r="F67" s="292">
        <v>2.9005118065748583</v>
      </c>
      <c r="G67" s="292">
        <v>664.33854490831129</v>
      </c>
      <c r="H67" s="290">
        <v>2242.2488218355206</v>
      </c>
      <c r="I67" s="290">
        <v>0</v>
      </c>
      <c r="J67" s="290">
        <v>0</v>
      </c>
      <c r="K67" s="296">
        <f t="shared" si="10"/>
        <v>489.29827263507195</v>
      </c>
      <c r="L67" s="290">
        <v>0</v>
      </c>
      <c r="M67" s="289">
        <v>489.29827263507195</v>
      </c>
      <c r="N67" s="266"/>
    </row>
    <row r="68" spans="1:14" ht="14" customHeight="1" x14ac:dyDescent="0.35">
      <c r="B68" s="297" t="str">
        <f>+[3]TableA1!A69</f>
        <v>Grenada</v>
      </c>
      <c r="C68" s="308">
        <f t="shared" si="5"/>
        <v>4.1725997786207163</v>
      </c>
      <c r="D68" s="293">
        <f t="shared" si="9"/>
        <v>0.17023905159586764</v>
      </c>
      <c r="E68" s="292">
        <v>0</v>
      </c>
      <c r="F68" s="292">
        <v>0.17023905159586764</v>
      </c>
      <c r="G68" s="292">
        <v>0</v>
      </c>
      <c r="H68" s="290">
        <v>0</v>
      </c>
      <c r="I68" s="290">
        <v>0</v>
      </c>
      <c r="J68" s="290">
        <v>0</v>
      </c>
      <c r="K68" s="296">
        <f t="shared" si="10"/>
        <v>4.0023607270248487</v>
      </c>
      <c r="L68" s="290">
        <v>0</v>
      </c>
      <c r="M68" s="289">
        <v>4.0023607270248487</v>
      </c>
      <c r="N68" s="266"/>
    </row>
    <row r="69" spans="1:14" ht="14" customHeight="1" x14ac:dyDescent="0.35">
      <c r="B69" s="297" t="s">
        <v>99</v>
      </c>
      <c r="C69" s="308">
        <f t="shared" si="5"/>
        <v>956.28691439342447</v>
      </c>
      <c r="D69" s="293">
        <f t="shared" si="9"/>
        <v>772.20380508388087</v>
      </c>
      <c r="E69" s="292">
        <v>-47.349899976311001</v>
      </c>
      <c r="F69" s="292">
        <v>36.061658076690634</v>
      </c>
      <c r="G69" s="292">
        <v>0</v>
      </c>
      <c r="H69" s="290">
        <v>783.49204698350127</v>
      </c>
      <c r="I69" s="290">
        <v>0</v>
      </c>
      <c r="J69" s="290">
        <v>0</v>
      </c>
      <c r="K69" s="296">
        <f t="shared" si="10"/>
        <v>184.0831093095436</v>
      </c>
      <c r="L69" s="290">
        <v>0</v>
      </c>
      <c r="M69" s="289">
        <v>184.0831093095436</v>
      </c>
      <c r="N69" s="266"/>
    </row>
    <row r="70" spans="1:14" ht="14" customHeight="1" x14ac:dyDescent="0.35">
      <c r="A70" s="343" t="s">
        <v>100</v>
      </c>
      <c r="B70" s="297" t="s">
        <v>332</v>
      </c>
      <c r="C70" s="308">
        <f t="shared" si="5"/>
        <v>3266.3938197704301</v>
      </c>
      <c r="D70" s="293">
        <f t="shared" si="9"/>
        <v>3039.5056282634091</v>
      </c>
      <c r="E70" s="292">
        <v>1.8990497800651365</v>
      </c>
      <c r="F70" s="292">
        <v>4.4517843408043891</v>
      </c>
      <c r="G70" s="292">
        <v>0</v>
      </c>
      <c r="H70" s="290">
        <v>2756.1113336412345</v>
      </c>
      <c r="I70" s="290">
        <v>0</v>
      </c>
      <c r="J70" s="290">
        <v>277.04346050130516</v>
      </c>
      <c r="K70" s="296">
        <f t="shared" si="10"/>
        <v>226.88819150702102</v>
      </c>
      <c r="L70" s="290">
        <v>0</v>
      </c>
      <c r="M70" s="289">
        <v>226.88819150702102</v>
      </c>
      <c r="N70" s="266"/>
    </row>
    <row r="71" spans="1:14" ht="14" customHeight="1" x14ac:dyDescent="0.35">
      <c r="A71" s="343" t="s">
        <v>102</v>
      </c>
      <c r="B71" s="297" t="s">
        <v>328</v>
      </c>
      <c r="C71" s="308">
        <f t="shared" si="5"/>
        <v>44685.10692140615</v>
      </c>
      <c r="D71" s="293">
        <f t="shared" si="9"/>
        <v>10281.541351931135</v>
      </c>
      <c r="E71" s="292">
        <v>4273.6319978619003</v>
      </c>
      <c r="F71" s="292">
        <v>10.313566947786425</v>
      </c>
      <c r="G71" s="292">
        <v>59.234929472474008</v>
      </c>
      <c r="H71" s="290">
        <v>1681.6892334032877</v>
      </c>
      <c r="I71" s="290">
        <v>0</v>
      </c>
      <c r="J71" s="290">
        <v>4256.6716242456878</v>
      </c>
      <c r="K71" s="296">
        <f t="shared" si="10"/>
        <v>34403.565569475017</v>
      </c>
      <c r="L71" s="290">
        <v>0</v>
      </c>
      <c r="M71" s="289">
        <v>34403.565569475017</v>
      </c>
      <c r="N71" s="266"/>
    </row>
    <row r="72" spans="1:14" ht="14" customHeight="1" x14ac:dyDescent="0.35">
      <c r="B72" s="297" t="s">
        <v>103</v>
      </c>
      <c r="C72" s="308">
        <f t="shared" si="5"/>
        <v>154.23105587659745</v>
      </c>
      <c r="D72" s="293">
        <f t="shared" si="9"/>
        <v>5.1282404161474346</v>
      </c>
      <c r="E72" s="292">
        <v>0</v>
      </c>
      <c r="F72" s="292">
        <v>4.7011768660379651</v>
      </c>
      <c r="G72" s="292">
        <v>0</v>
      </c>
      <c r="H72" s="290">
        <v>0</v>
      </c>
      <c r="I72" s="290">
        <v>0.42706355010946995</v>
      </c>
      <c r="J72" s="290">
        <v>0</v>
      </c>
      <c r="K72" s="296">
        <f t="shared" si="10"/>
        <v>149.10281546045002</v>
      </c>
      <c r="L72" s="290">
        <v>0</v>
      </c>
      <c r="M72" s="289">
        <v>149.10281546045002</v>
      </c>
      <c r="N72" s="266"/>
    </row>
    <row r="73" spans="1:14" ht="14" customHeight="1" x14ac:dyDescent="0.35">
      <c r="B73" s="297" t="s">
        <v>104</v>
      </c>
      <c r="C73" s="308">
        <f t="shared" si="5"/>
        <v>216.85439044033095</v>
      </c>
      <c r="D73" s="293">
        <f t="shared" si="9"/>
        <v>116.7561119437278</v>
      </c>
      <c r="E73" s="292">
        <v>94.699799952622001</v>
      </c>
      <c r="F73" s="292">
        <v>22.056311991105794</v>
      </c>
      <c r="G73" s="292">
        <v>0</v>
      </c>
      <c r="H73" s="290">
        <v>0</v>
      </c>
      <c r="I73" s="290">
        <v>0</v>
      </c>
      <c r="J73" s="290">
        <v>0</v>
      </c>
      <c r="K73" s="296">
        <f t="shared" si="10"/>
        <v>100.09827849660314</v>
      </c>
      <c r="L73" s="290">
        <v>0</v>
      </c>
      <c r="M73" s="289">
        <v>100.09827849660314</v>
      </c>
      <c r="N73" s="266"/>
    </row>
    <row r="74" spans="1:14" ht="14" customHeight="1" x14ac:dyDescent="0.35">
      <c r="B74" s="297" t="s">
        <v>105</v>
      </c>
      <c r="C74" s="308">
        <f t="shared" si="5"/>
        <v>968.79224367855647</v>
      </c>
      <c r="D74" s="293">
        <f t="shared" si="9"/>
        <v>600.95805395320735</v>
      </c>
      <c r="E74" s="292">
        <v>0</v>
      </c>
      <c r="F74" s="292">
        <v>0</v>
      </c>
      <c r="G74" s="292">
        <v>0</v>
      </c>
      <c r="H74" s="290">
        <v>600.95805395320735</v>
      </c>
      <c r="I74" s="290">
        <v>0</v>
      </c>
      <c r="J74" s="290">
        <v>0</v>
      </c>
      <c r="K74" s="296">
        <f t="shared" si="10"/>
        <v>367.83418972534912</v>
      </c>
      <c r="L74" s="290">
        <v>0</v>
      </c>
      <c r="M74" s="289">
        <v>367.83418972534912</v>
      </c>
      <c r="N74" s="266"/>
    </row>
    <row r="75" spans="1:14" ht="14" customHeight="1" x14ac:dyDescent="0.35">
      <c r="A75" s="343" t="s">
        <v>106</v>
      </c>
      <c r="B75" s="297" t="s">
        <v>108</v>
      </c>
      <c r="C75" s="308">
        <f t="shared" si="5"/>
        <v>2669.583642106104</v>
      </c>
      <c r="D75" s="293">
        <f t="shared" si="9"/>
        <v>0.44800131878256805</v>
      </c>
      <c r="E75" s="292">
        <v>0</v>
      </c>
      <c r="F75" s="292">
        <v>0.44800131878256805</v>
      </c>
      <c r="G75" s="292">
        <v>0</v>
      </c>
      <c r="H75" s="290">
        <v>0</v>
      </c>
      <c r="I75" s="290">
        <v>0</v>
      </c>
      <c r="J75" s="290">
        <v>0</v>
      </c>
      <c r="K75" s="296">
        <f t="shared" si="10"/>
        <v>2669.1356407873213</v>
      </c>
      <c r="L75" s="290">
        <v>0</v>
      </c>
      <c r="M75" s="289">
        <v>2669.1356407873213</v>
      </c>
      <c r="N75" s="266"/>
    </row>
    <row r="76" spans="1:14" ht="14" customHeight="1" x14ac:dyDescent="0.35">
      <c r="B76" s="297" t="s">
        <v>109</v>
      </c>
      <c r="C76" s="308">
        <f t="shared" si="5"/>
        <v>2106.4968673421495</v>
      </c>
      <c r="D76" s="293">
        <f t="shared" si="9"/>
        <v>2099.4714887082591</v>
      </c>
      <c r="E76" s="292">
        <v>415.5509993243021</v>
      </c>
      <c r="F76" s="292">
        <v>6.0878081894871046E-2</v>
      </c>
      <c r="G76" s="292">
        <v>213.59369108922525</v>
      </c>
      <c r="H76" s="290">
        <v>324.70646467316948</v>
      </c>
      <c r="I76" s="290">
        <v>1145.5594555396672</v>
      </c>
      <c r="J76" s="290">
        <v>0</v>
      </c>
      <c r="K76" s="296">
        <f t="shared" si="10"/>
        <v>7.025378633890341</v>
      </c>
      <c r="L76" s="290">
        <v>0</v>
      </c>
      <c r="M76" s="344">
        <v>7.025378633890341</v>
      </c>
      <c r="N76" s="266"/>
    </row>
    <row r="77" spans="1:14" ht="14" customHeight="1" x14ac:dyDescent="0.35">
      <c r="A77" s="343" t="s">
        <v>111</v>
      </c>
      <c r="B77" s="297" t="s">
        <v>110</v>
      </c>
      <c r="C77" s="308">
        <f t="shared" si="5"/>
        <v>1071.704268069549</v>
      </c>
      <c r="D77" s="293">
        <f t="shared" si="9"/>
        <v>322.6688292329535</v>
      </c>
      <c r="E77" s="292">
        <v>322.95059983842998</v>
      </c>
      <c r="F77" s="292">
        <v>-0.28177060547647398</v>
      </c>
      <c r="G77" s="292">
        <v>0</v>
      </c>
      <c r="H77" s="290">
        <v>0</v>
      </c>
      <c r="I77" s="290">
        <v>0</v>
      </c>
      <c r="J77" s="290">
        <v>0</v>
      </c>
      <c r="K77" s="296">
        <f t="shared" si="10"/>
        <v>749.03543883659552</v>
      </c>
      <c r="L77" s="290">
        <v>0</v>
      </c>
      <c r="M77" s="289">
        <v>749.03543883659552</v>
      </c>
      <c r="N77" s="266"/>
    </row>
    <row r="78" spans="1:14" ht="14" customHeight="1" x14ac:dyDescent="0.35">
      <c r="B78" s="297" t="str">
        <f>+[3]TableA1!A79</f>
        <v>Monaco</v>
      </c>
      <c r="C78" s="308">
        <f t="shared" si="5"/>
        <v>2.2011967451673256</v>
      </c>
      <c r="D78" s="293">
        <f t="shared" si="9"/>
        <v>0</v>
      </c>
      <c r="E78" s="292">
        <v>0</v>
      </c>
      <c r="F78" s="292">
        <v>0</v>
      </c>
      <c r="G78" s="292">
        <v>0</v>
      </c>
      <c r="H78" s="290">
        <v>0</v>
      </c>
      <c r="I78" s="290">
        <v>0</v>
      </c>
      <c r="J78" s="290">
        <v>0</v>
      </c>
      <c r="K78" s="296">
        <f t="shared" si="10"/>
        <v>2.2011967451673256</v>
      </c>
      <c r="L78" s="290">
        <v>0</v>
      </c>
      <c r="M78" s="289">
        <v>2.2011967451673256</v>
      </c>
      <c r="N78" s="266"/>
    </row>
    <row r="79" spans="1:14" ht="14" customHeight="1" x14ac:dyDescent="0.35">
      <c r="B79" s="297" t="s">
        <v>113</v>
      </c>
      <c r="C79" s="308">
        <f t="shared" si="5"/>
        <v>31.796067267748899</v>
      </c>
      <c r="D79" s="293">
        <f t="shared" si="9"/>
        <v>0</v>
      </c>
      <c r="E79" s="292">
        <v>0</v>
      </c>
      <c r="F79" s="292">
        <v>0</v>
      </c>
      <c r="G79" s="292">
        <v>0</v>
      </c>
      <c r="H79" s="290">
        <v>0</v>
      </c>
      <c r="I79" s="290">
        <v>0</v>
      </c>
      <c r="J79" s="290">
        <v>0</v>
      </c>
      <c r="K79" s="296">
        <f t="shared" si="10"/>
        <v>31.796067267748899</v>
      </c>
      <c r="L79" s="290">
        <v>0</v>
      </c>
      <c r="M79" s="289">
        <v>31.796067267748899</v>
      </c>
      <c r="N79" s="266"/>
    </row>
    <row r="80" spans="1:14" ht="14" customHeight="1" x14ac:dyDescent="0.35">
      <c r="B80" s="297" t="s">
        <v>114</v>
      </c>
      <c r="C80" s="308">
        <f t="shared" si="5"/>
        <v>3155.0149882749065</v>
      </c>
      <c r="D80" s="293">
        <f t="shared" si="9"/>
        <v>6.0673393508282949</v>
      </c>
      <c r="E80" s="292">
        <v>-0.80130599959911608</v>
      </c>
      <c r="F80" s="292">
        <v>6.8686453504274105</v>
      </c>
      <c r="G80" s="292">
        <v>0</v>
      </c>
      <c r="H80" s="290">
        <v>0</v>
      </c>
      <c r="I80" s="290">
        <v>0</v>
      </c>
      <c r="J80" s="290">
        <v>0</v>
      </c>
      <c r="K80" s="296">
        <f t="shared" si="10"/>
        <v>3148.9476489240783</v>
      </c>
      <c r="L80" s="290">
        <v>0</v>
      </c>
      <c r="M80" s="289">
        <v>3148.9476489240783</v>
      </c>
      <c r="N80" s="266"/>
    </row>
    <row r="81" spans="1:14" ht="14" customHeight="1" x14ac:dyDescent="0.35">
      <c r="B81" s="297" t="str">
        <f>+[3]TableA1!A82</f>
        <v>Seychelles</v>
      </c>
      <c r="C81" s="308">
        <f t="shared" si="5"/>
        <v>149.47889266090402</v>
      </c>
      <c r="D81" s="293">
        <f t="shared" si="9"/>
        <v>0.28278646073447922</v>
      </c>
      <c r="E81" s="292">
        <v>0</v>
      </c>
      <c r="F81" s="292">
        <v>0.28278646073447922</v>
      </c>
      <c r="G81" s="292">
        <v>0</v>
      </c>
      <c r="H81" s="290">
        <v>0</v>
      </c>
      <c r="I81" s="290">
        <v>0</v>
      </c>
      <c r="J81" s="290">
        <v>0</v>
      </c>
      <c r="K81" s="296">
        <f t="shared" si="10"/>
        <v>149.19610620016954</v>
      </c>
      <c r="L81" s="290">
        <v>0</v>
      </c>
      <c r="M81" s="289">
        <v>149.19610620016954</v>
      </c>
      <c r="N81" s="266"/>
    </row>
    <row r="82" spans="1:14" x14ac:dyDescent="0.35">
      <c r="B82" s="297" t="s">
        <v>116</v>
      </c>
      <c r="C82" s="308">
        <f t="shared" si="5"/>
        <v>30328.204654972891</v>
      </c>
      <c r="D82" s="293">
        <f t="shared" si="9"/>
        <v>3019.45065550662</v>
      </c>
      <c r="E82" s="292">
        <v>-365.44409981717001</v>
      </c>
      <c r="F82" s="292">
        <v>1.7718538272047677</v>
      </c>
      <c r="G82" s="292">
        <v>0</v>
      </c>
      <c r="H82" s="290">
        <v>1098.9607747981333</v>
      </c>
      <c r="I82" s="290">
        <v>0</v>
      </c>
      <c r="J82" s="290">
        <v>2284.1621266984521</v>
      </c>
      <c r="K82" s="296">
        <f t="shared" si="10"/>
        <v>27308.753999466273</v>
      </c>
      <c r="L82" s="290">
        <v>0</v>
      </c>
      <c r="M82" s="289">
        <v>27308.753999466273</v>
      </c>
      <c r="N82" s="266"/>
    </row>
    <row r="83" spans="1:14" x14ac:dyDescent="0.35">
      <c r="B83" s="297" t="str">
        <f>+[3]TableA1!A84</f>
        <v>St. Kitts and Nevis</v>
      </c>
      <c r="C83" s="308">
        <f t="shared" si="5"/>
        <v>-0.10058821358700398</v>
      </c>
      <c r="D83" s="293">
        <f t="shared" si="9"/>
        <v>8.0949907943786027E-3</v>
      </c>
      <c r="E83" s="292">
        <v>0</v>
      </c>
      <c r="F83" s="292">
        <v>8.0949907943786027E-3</v>
      </c>
      <c r="G83" s="292">
        <v>0</v>
      </c>
      <c r="H83" s="290">
        <v>0</v>
      </c>
      <c r="I83" s="290">
        <v>0</v>
      </c>
      <c r="J83" s="290">
        <v>0</v>
      </c>
      <c r="K83" s="296">
        <f t="shared" si="10"/>
        <v>-0.10868320438138258</v>
      </c>
      <c r="L83" s="290">
        <v>0</v>
      </c>
      <c r="M83" s="289">
        <v>-0.10868320438138258</v>
      </c>
      <c r="N83" s="266"/>
    </row>
    <row r="84" spans="1:14" x14ac:dyDescent="0.35">
      <c r="B84" s="297" t="str">
        <f>+[3]TableA1!A85</f>
        <v>St. Lucia</v>
      </c>
      <c r="C84" s="308">
        <f t="shared" si="5"/>
        <v>-39.267764691463398</v>
      </c>
      <c r="D84" s="293">
        <f t="shared" si="9"/>
        <v>-1.1054972739637652</v>
      </c>
      <c r="E84" s="292">
        <v>-1.2140999993926</v>
      </c>
      <c r="F84" s="292">
        <v>0.10860272542883488</v>
      </c>
      <c r="G84" s="292">
        <v>0</v>
      </c>
      <c r="H84" s="290">
        <v>0</v>
      </c>
      <c r="I84" s="290">
        <v>0</v>
      </c>
      <c r="J84" s="290">
        <v>0</v>
      </c>
      <c r="K84" s="296">
        <f t="shared" si="10"/>
        <v>-38.162267417499635</v>
      </c>
      <c r="L84" s="290">
        <v>0</v>
      </c>
      <c r="M84" s="289">
        <v>-38.162267417499635</v>
      </c>
      <c r="N84" s="266"/>
    </row>
    <row r="85" spans="1:14" x14ac:dyDescent="0.35">
      <c r="B85" s="297" t="str">
        <f>+[3]TableA1!A86</f>
        <v>St. Vincent and the Grenadines</v>
      </c>
      <c r="C85" s="308">
        <f t="shared" si="5"/>
        <v>9.3345135764596208</v>
      </c>
      <c r="D85" s="293">
        <f t="shared" si="9"/>
        <v>3.2920241160652609E-3</v>
      </c>
      <c r="E85" s="292">
        <v>0</v>
      </c>
      <c r="F85" s="292">
        <v>3.2920241160652609E-3</v>
      </c>
      <c r="G85" s="292">
        <v>0</v>
      </c>
      <c r="H85" s="290">
        <v>0</v>
      </c>
      <c r="I85" s="290">
        <v>0</v>
      </c>
      <c r="J85" s="290">
        <v>0</v>
      </c>
      <c r="K85" s="296">
        <f t="shared" si="10"/>
        <v>9.3312215523435551</v>
      </c>
      <c r="L85" s="290">
        <v>0</v>
      </c>
      <c r="M85" s="289">
        <v>9.3312215523435551</v>
      </c>
      <c r="N85" s="266"/>
    </row>
    <row r="86" spans="1:14" ht="23" x14ac:dyDescent="0.35">
      <c r="A86" s="343" t="s">
        <v>353</v>
      </c>
      <c r="B86" s="297" t="str">
        <f>+[3]TableA1!A87</f>
        <v>Turks and Caicos</v>
      </c>
      <c r="C86" s="308">
        <f t="shared" si="5"/>
        <v>1.3098229245816537</v>
      </c>
      <c r="D86" s="293">
        <f t="shared" si="9"/>
        <v>1.2875289252840306E-2</v>
      </c>
      <c r="E86" s="292">
        <v>0</v>
      </c>
      <c r="F86" s="292">
        <v>1.2875289252840306E-2</v>
      </c>
      <c r="G86" s="292">
        <v>0</v>
      </c>
      <c r="H86" s="290">
        <v>0</v>
      </c>
      <c r="I86" s="290">
        <v>0</v>
      </c>
      <c r="J86" s="290">
        <v>0</v>
      </c>
      <c r="K86" s="296">
        <f t="shared" si="10"/>
        <v>1.2969476353288134</v>
      </c>
      <c r="L86" s="290">
        <v>0</v>
      </c>
      <c r="M86" s="289">
        <v>1.2969476353288134</v>
      </c>
      <c r="N86" s="266"/>
    </row>
    <row r="87" spans="1:14" x14ac:dyDescent="0.35">
      <c r="B87" s="297" t="str">
        <f>+[3]TableA1!A88</f>
        <v>Panama</v>
      </c>
      <c r="C87" s="308">
        <f t="shared" si="5"/>
        <v>1877.8346026243687</v>
      </c>
      <c r="D87" s="293">
        <f t="shared" si="9"/>
        <v>-19.183317518677327</v>
      </c>
      <c r="E87" s="292">
        <v>-19.259517447815881</v>
      </c>
      <c r="F87" s="292">
        <v>7.6199929138552142E-2</v>
      </c>
      <c r="G87" s="292">
        <v>0</v>
      </c>
      <c r="H87" s="290">
        <v>0</v>
      </c>
      <c r="I87" s="290">
        <v>0</v>
      </c>
      <c r="J87" s="290">
        <v>0</v>
      </c>
      <c r="K87" s="296">
        <f t="shared" si="10"/>
        <v>1897.017920143046</v>
      </c>
      <c r="L87" s="290">
        <v>0</v>
      </c>
      <c r="M87" s="289">
        <v>1897.017920143046</v>
      </c>
      <c r="N87" s="266"/>
    </row>
    <row r="88" spans="1:14" x14ac:dyDescent="0.35">
      <c r="B88" s="297" t="s">
        <v>122</v>
      </c>
      <c r="C88" s="308">
        <f t="shared" si="5"/>
        <v>67.575746846713315</v>
      </c>
      <c r="D88" s="293">
        <f t="shared" si="9"/>
        <v>0</v>
      </c>
      <c r="E88" s="292">
        <v>0</v>
      </c>
      <c r="F88" s="292">
        <v>0</v>
      </c>
      <c r="G88" s="292">
        <v>0</v>
      </c>
      <c r="H88" s="290">
        <v>0</v>
      </c>
      <c r="I88" s="290">
        <v>0</v>
      </c>
      <c r="J88" s="290">
        <v>0</v>
      </c>
      <c r="K88" s="296">
        <f t="shared" si="10"/>
        <v>67.575746846713315</v>
      </c>
      <c r="L88" s="290">
        <v>0</v>
      </c>
      <c r="M88" s="289">
        <v>67.575746846713315</v>
      </c>
      <c r="N88" s="266"/>
    </row>
    <row r="89" spans="1:14" ht="40" customHeight="1" x14ac:dyDescent="0.35">
      <c r="B89" s="288" t="s">
        <v>327</v>
      </c>
      <c r="C89" s="287">
        <f>+C90-C52-C44-SUM(C9:C43)</f>
        <v>65442.279878934845</v>
      </c>
      <c r="D89" s="282">
        <f t="shared" si="9"/>
        <v>8149.1365600186236</v>
      </c>
      <c r="E89" s="286">
        <f t="shared" ref="E89:M89" si="11">+E90-SUM(E53:E88,E45:E51,E9:E43)</f>
        <v>1695.0643598457973</v>
      </c>
      <c r="F89" s="286">
        <f t="shared" si="11"/>
        <v>157.77461322254021</v>
      </c>
      <c r="G89" s="286">
        <f t="shared" si="11"/>
        <v>52.206651127664372</v>
      </c>
      <c r="H89" s="285">
        <f t="shared" si="11"/>
        <v>4894.8933912306093</v>
      </c>
      <c r="I89" s="285">
        <f t="shared" si="11"/>
        <v>50.851350316125036</v>
      </c>
      <c r="J89" s="285">
        <f t="shared" si="11"/>
        <v>1298.3461942758877</v>
      </c>
      <c r="K89" s="280">
        <f t="shared" si="11"/>
        <v>57293.143318916205</v>
      </c>
      <c r="L89" s="279">
        <f t="shared" si="11"/>
        <v>0</v>
      </c>
      <c r="M89" s="278">
        <f t="shared" si="11"/>
        <v>57293.143318916089</v>
      </c>
      <c r="N89" s="266"/>
    </row>
    <row r="90" spans="1:14" ht="40" customHeight="1" x14ac:dyDescent="0.35">
      <c r="B90" s="276" t="s">
        <v>288</v>
      </c>
      <c r="C90" s="273">
        <f>+D90+K90</f>
        <v>2851009.3673273819</v>
      </c>
      <c r="D90" s="272">
        <f t="shared" si="9"/>
        <v>1508592.7338534682</v>
      </c>
      <c r="E90" s="275">
        <v>234847.47600848484</v>
      </c>
      <c r="F90" s="269">
        <v>11626.120558307652</v>
      </c>
      <c r="G90" s="269">
        <v>307047.26370273624</v>
      </c>
      <c r="H90" s="269">
        <v>227073.42761395685</v>
      </c>
      <c r="I90" s="269">
        <v>1619.5673635627952</v>
      </c>
      <c r="J90" s="269">
        <v>726378.87860641989</v>
      </c>
      <c r="K90" s="272">
        <f>+SUM(L90:M90)</f>
        <v>1342416.6334739137</v>
      </c>
      <c r="L90" s="275">
        <v>515979.979471258</v>
      </c>
      <c r="M90" s="267">
        <v>826436.65400265553</v>
      </c>
      <c r="N90" s="266"/>
    </row>
    <row r="91" spans="1:14" ht="39.75" customHeight="1" thickBot="1" x14ac:dyDescent="0.4">
      <c r="B91" s="342" t="s">
        <v>387</v>
      </c>
      <c r="C91" s="263">
        <f>+D91+K91</f>
        <v>2024807.3204262606</v>
      </c>
      <c r="D91" s="262">
        <f t="shared" ref="D91:M91" si="12">+D89+D44+D8</f>
        <v>1084941.8761010394</v>
      </c>
      <c r="E91" s="259">
        <f t="shared" si="12"/>
        <v>143012.44968484723</v>
      </c>
      <c r="F91" s="260">
        <f t="shared" si="12"/>
        <v>7871.4393288054962</v>
      </c>
      <c r="G91" s="260">
        <f t="shared" si="12"/>
        <v>259143.73748279287</v>
      </c>
      <c r="H91" s="260">
        <f t="shared" si="12"/>
        <v>154868.78284388396</v>
      </c>
      <c r="I91" s="260">
        <f t="shared" si="12"/>
        <v>374.30759298960123</v>
      </c>
      <c r="J91" s="260">
        <f t="shared" si="12"/>
        <v>519671.1591677203</v>
      </c>
      <c r="K91" s="262">
        <f t="shared" si="12"/>
        <v>939865.44432522124</v>
      </c>
      <c r="L91" s="259">
        <f t="shared" si="12"/>
        <v>430943.28515948798</v>
      </c>
      <c r="M91" s="258">
        <f t="shared" si="12"/>
        <v>508922.15916573314</v>
      </c>
    </row>
    <row r="92" spans="1:14" s="257" customFormat="1" ht="16" thickTop="1" x14ac:dyDescent="0.35">
      <c r="D92" s="253"/>
      <c r="E92" s="253"/>
      <c r="F92" s="253"/>
      <c r="G92" s="253"/>
      <c r="H92" s="253"/>
      <c r="I92" s="253"/>
      <c r="J92" s="253"/>
      <c r="K92" s="253"/>
      <c r="L92" s="253"/>
      <c r="M92" s="253"/>
    </row>
    <row r="94" spans="1:14" s="257" customFormat="1" x14ac:dyDescent="0.35">
      <c r="B94" s="1" t="s">
        <v>291</v>
      </c>
      <c r="C94" s="1"/>
      <c r="D94" s="1">
        <v>0.90165899999999999</v>
      </c>
      <c r="E94" s="253"/>
      <c r="F94" s="253"/>
      <c r="G94" s="253"/>
      <c r="H94" s="253"/>
      <c r="I94" s="253"/>
      <c r="J94" s="253"/>
      <c r="K94" s="253"/>
      <c r="L94" s="253"/>
      <c r="M94" s="253"/>
    </row>
  </sheetData>
  <mergeCells count="5">
    <mergeCell ref="D6:D7"/>
    <mergeCell ref="K6:K7"/>
    <mergeCell ref="B3:M3"/>
    <mergeCell ref="C6:C7"/>
    <mergeCell ref="C5:M5"/>
  </mergeCells>
  <pageMargins left="0.7" right="0.7" top="0.75" bottom="0.75" header="0.3" footer="0.3"/>
  <pageSetup scale="47"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pageSetUpPr fitToPage="1"/>
  </sheetPr>
  <dimension ref="A3:AC105"/>
  <sheetViews>
    <sheetView zoomScale="70" zoomScaleNormal="70" zoomScalePageLayoutView="70" workbookViewId="0">
      <pane xSplit="2" ySplit="9" topLeftCell="C49" activePane="bottomRight" state="frozen"/>
      <selection activeCell="G29" sqref="G29"/>
      <selection pane="topRight" activeCell="G29" sqref="G29"/>
      <selection pane="bottomLeft" activeCell="G29" sqref="G29"/>
      <selection pane="bottomRight" activeCell="C17" sqref="C17"/>
    </sheetView>
  </sheetViews>
  <sheetFormatPr defaultColWidth="10.81640625" defaultRowHeight="15.5" x14ac:dyDescent="0.35"/>
  <cols>
    <col min="1" max="1" width="17.453125" style="253" hidden="1" customWidth="1"/>
    <col min="2" max="2" width="19" style="253" customWidth="1"/>
    <col min="3" max="24" width="11.453125" style="253" customWidth="1"/>
    <col min="25" max="26" width="10.81640625" style="253"/>
    <col min="27" max="27" width="13.6328125" style="253" customWidth="1"/>
    <col min="28" max="16384" width="10.81640625" style="253"/>
  </cols>
  <sheetData>
    <row r="3" spans="2:29" ht="16" thickBot="1" x14ac:dyDescent="0.4">
      <c r="M3" s="318"/>
      <c r="X3" s="318"/>
    </row>
    <row r="4" spans="2:29" ht="16" hidden="1" thickBot="1" x14ac:dyDescent="0.4">
      <c r="E4" s="253">
        <v>2</v>
      </c>
      <c r="F4" s="253">
        <v>3</v>
      </c>
      <c r="G4" s="253">
        <v>4</v>
      </c>
      <c r="H4" s="253">
        <v>5</v>
      </c>
      <c r="I4" s="253">
        <v>6</v>
      </c>
      <c r="J4" s="253">
        <v>7</v>
      </c>
      <c r="L4" s="253">
        <v>8</v>
      </c>
      <c r="M4" s="253">
        <v>9</v>
      </c>
      <c r="P4" s="253">
        <v>2</v>
      </c>
      <c r="Q4" s="253">
        <v>3</v>
      </c>
      <c r="R4" s="253">
        <v>4</v>
      </c>
      <c r="S4" s="253">
        <v>5</v>
      </c>
      <c r="T4" s="253">
        <v>6</v>
      </c>
      <c r="U4" s="253">
        <v>7</v>
      </c>
      <c r="W4" s="253">
        <v>8</v>
      </c>
      <c r="X4" s="253">
        <v>9</v>
      </c>
    </row>
    <row r="5" spans="2:29" ht="32" customHeight="1" thickTop="1" x14ac:dyDescent="0.35">
      <c r="B5" s="618" t="s">
        <v>413</v>
      </c>
      <c r="C5" s="619"/>
      <c r="D5" s="619"/>
      <c r="E5" s="619"/>
      <c r="F5" s="619"/>
      <c r="G5" s="619"/>
      <c r="H5" s="619"/>
      <c r="I5" s="619"/>
      <c r="J5" s="619"/>
      <c r="K5" s="619"/>
      <c r="L5" s="619"/>
      <c r="M5" s="619"/>
      <c r="N5" s="619"/>
      <c r="O5" s="619"/>
      <c r="P5" s="619"/>
      <c r="Q5" s="619"/>
      <c r="R5" s="619"/>
      <c r="S5" s="619"/>
      <c r="T5" s="619"/>
      <c r="U5" s="619"/>
      <c r="V5" s="619"/>
      <c r="W5" s="619"/>
      <c r="X5" s="620"/>
    </row>
    <row r="6" spans="2:29" ht="32" customHeight="1" x14ac:dyDescent="0.35">
      <c r="B6" s="333"/>
      <c r="C6" s="4" t="s">
        <v>1</v>
      </c>
      <c r="D6" s="4" t="s">
        <v>2</v>
      </c>
      <c r="E6" s="4" t="s">
        <v>3</v>
      </c>
      <c r="F6" s="4" t="s">
        <v>4</v>
      </c>
      <c r="G6" s="4" t="s">
        <v>5</v>
      </c>
      <c r="H6" s="4" t="s">
        <v>6</v>
      </c>
      <c r="I6" s="4" t="s">
        <v>7</v>
      </c>
      <c r="J6" s="4" t="s">
        <v>8</v>
      </c>
      <c r="K6" s="4" t="s">
        <v>9</v>
      </c>
      <c r="L6" s="4" t="s">
        <v>10</v>
      </c>
      <c r="M6" s="4" t="s">
        <v>11</v>
      </c>
      <c r="N6" s="4" t="s">
        <v>12</v>
      </c>
      <c r="O6" s="4" t="s">
        <v>13</v>
      </c>
      <c r="P6" s="4" t="s">
        <v>14</v>
      </c>
      <c r="Q6" s="4" t="s">
        <v>331</v>
      </c>
      <c r="R6" s="4" t="s">
        <v>330</v>
      </c>
      <c r="S6" s="4" t="s">
        <v>376</v>
      </c>
      <c r="T6" s="4" t="s">
        <v>377</v>
      </c>
      <c r="U6" s="4" t="s">
        <v>378</v>
      </c>
      <c r="V6" s="4" t="s">
        <v>379</v>
      </c>
      <c r="W6" s="4" t="s">
        <v>380</v>
      </c>
      <c r="X6" s="332" t="s">
        <v>381</v>
      </c>
    </row>
    <row r="7" spans="2:29" ht="21" customHeight="1" x14ac:dyDescent="0.35">
      <c r="B7" s="297"/>
      <c r="C7" s="623" t="s">
        <v>412</v>
      </c>
      <c r="D7" s="624" t="s">
        <v>410</v>
      </c>
      <c r="E7" s="624"/>
      <c r="F7" s="624"/>
      <c r="G7" s="624"/>
      <c r="H7" s="624"/>
      <c r="I7" s="624"/>
      <c r="J7" s="624"/>
      <c r="K7" s="624"/>
      <c r="L7" s="624"/>
      <c r="M7" s="625"/>
      <c r="N7" s="624" t="s">
        <v>411</v>
      </c>
      <c r="O7" s="624" t="s">
        <v>410</v>
      </c>
      <c r="P7" s="624"/>
      <c r="Q7" s="624"/>
      <c r="R7" s="624"/>
      <c r="S7" s="624"/>
      <c r="T7" s="624"/>
      <c r="U7" s="624"/>
      <c r="V7" s="624"/>
      <c r="W7" s="624"/>
      <c r="X7" s="626"/>
    </row>
    <row r="8" spans="2:29" ht="85" customHeight="1" x14ac:dyDescent="0.35">
      <c r="B8" s="297"/>
      <c r="C8" s="621" t="s">
        <v>398</v>
      </c>
      <c r="D8" s="621" t="s">
        <v>397</v>
      </c>
      <c r="E8" s="329" t="s">
        <v>34</v>
      </c>
      <c r="F8" s="329" t="s">
        <v>96</v>
      </c>
      <c r="G8" s="329" t="s">
        <v>46</v>
      </c>
      <c r="H8" s="331" t="s">
        <v>52</v>
      </c>
      <c r="I8" s="329" t="s">
        <v>109</v>
      </c>
      <c r="J8" s="331" t="s">
        <v>54</v>
      </c>
      <c r="K8" s="621" t="s">
        <v>396</v>
      </c>
      <c r="L8" s="331" t="s">
        <v>63</v>
      </c>
      <c r="M8" s="330" t="s">
        <v>395</v>
      </c>
      <c r="N8" s="621" t="s">
        <v>398</v>
      </c>
      <c r="O8" s="621" t="s">
        <v>397</v>
      </c>
      <c r="P8" s="329" t="s">
        <v>34</v>
      </c>
      <c r="Q8" s="329" t="s">
        <v>96</v>
      </c>
      <c r="R8" s="329" t="s">
        <v>46</v>
      </c>
      <c r="S8" s="331" t="s">
        <v>52</v>
      </c>
      <c r="T8" s="329" t="s">
        <v>109</v>
      </c>
      <c r="U8" s="331" t="s">
        <v>54</v>
      </c>
      <c r="V8" s="635" t="s">
        <v>396</v>
      </c>
      <c r="W8" s="331" t="s">
        <v>63</v>
      </c>
      <c r="X8" s="328" t="s">
        <v>395</v>
      </c>
    </row>
    <row r="9" spans="2:29" ht="17.25" customHeight="1" x14ac:dyDescent="0.35">
      <c r="B9" s="297"/>
      <c r="C9" s="621"/>
      <c r="D9" s="621"/>
      <c r="E9" s="329"/>
      <c r="F9" s="329"/>
      <c r="G9" s="329"/>
      <c r="H9" s="329"/>
      <c r="I9" s="329"/>
      <c r="J9" s="329"/>
      <c r="K9" s="622"/>
      <c r="L9" s="329"/>
      <c r="M9" s="330"/>
      <c r="N9" s="621"/>
      <c r="O9" s="621"/>
      <c r="P9" s="329"/>
      <c r="Q9" s="329"/>
      <c r="R9" s="329"/>
      <c r="S9" s="329"/>
      <c r="T9" s="329"/>
      <c r="U9" s="329"/>
      <c r="V9" s="636"/>
      <c r="W9" s="329"/>
      <c r="X9" s="328"/>
    </row>
    <row r="10" spans="2:29" ht="40" customHeight="1" x14ac:dyDescent="0.35">
      <c r="B10" s="327" t="s">
        <v>31</v>
      </c>
      <c r="C10" s="325">
        <f t="shared" ref="C10:X10" si="0">+SUM(C11:C45)</f>
        <v>627947.61435108248</v>
      </c>
      <c r="D10" s="325">
        <f t="shared" si="0"/>
        <v>349020.80237419903</v>
      </c>
      <c r="E10" s="324">
        <f t="shared" si="0"/>
        <v>33908.764351339531</v>
      </c>
      <c r="F10" s="324">
        <f t="shared" si="0"/>
        <v>1062.0842525582364</v>
      </c>
      <c r="G10" s="324">
        <f t="shared" si="0"/>
        <v>110390.99497008484</v>
      </c>
      <c r="H10" s="324">
        <f t="shared" si="0"/>
        <v>95768.102673872927</v>
      </c>
      <c r="I10" s="324">
        <f t="shared" si="0"/>
        <v>5296.0261247678218</v>
      </c>
      <c r="J10" s="324">
        <f t="shared" si="0"/>
        <v>102552.45978396907</v>
      </c>
      <c r="K10" s="325">
        <f t="shared" si="0"/>
        <v>278926.81197688344</v>
      </c>
      <c r="L10" s="324">
        <f t="shared" si="0"/>
        <v>42779.775859976391</v>
      </c>
      <c r="M10" s="326">
        <f t="shared" si="0"/>
        <v>236147.03611690708</v>
      </c>
      <c r="N10" s="325">
        <f t="shared" si="0"/>
        <v>838430.17692407616</v>
      </c>
      <c r="O10" s="325">
        <f t="shared" si="0"/>
        <v>504818.42092288029</v>
      </c>
      <c r="P10" s="324">
        <f t="shared" si="0"/>
        <v>61730.202256635086</v>
      </c>
      <c r="Q10" s="324">
        <f t="shared" si="0"/>
        <v>1752.8786794005857</v>
      </c>
      <c r="R10" s="324">
        <f t="shared" si="0"/>
        <v>124125.9044933953</v>
      </c>
      <c r="S10" s="324">
        <f t="shared" si="0"/>
        <v>72078.27625656726</v>
      </c>
      <c r="T10" s="324">
        <f t="shared" si="0"/>
        <v>154.82947389737947</v>
      </c>
      <c r="U10" s="324">
        <f t="shared" si="0"/>
        <v>244976.32976298477</v>
      </c>
      <c r="V10" s="325">
        <f t="shared" si="0"/>
        <v>333611.75600119581</v>
      </c>
      <c r="W10" s="324">
        <f t="shared" si="0"/>
        <v>206280.5205717035</v>
      </c>
      <c r="X10" s="323">
        <f t="shared" si="0"/>
        <v>127331.23542949234</v>
      </c>
    </row>
    <row r="11" spans="2:29" ht="14" customHeight="1" x14ac:dyDescent="0.35">
      <c r="B11" s="311" t="s">
        <v>32</v>
      </c>
      <c r="C11" s="308">
        <f>1000*C105*(TableC2!D9+TableC2!O9)/(TableC2!$D$100+TableC2!$O$100)</f>
        <v>30237.660882699594</v>
      </c>
      <c r="D11" s="308">
        <f>1000*C105*(TableC2!E9+TableC2!P9)/(TableC2!$D$100+TableC2!$O$100)</f>
        <v>7695.0727626045045</v>
      </c>
      <c r="E11" s="281">
        <f>1000*C105*(TableC2!F9+TableC2!Q9)/(TableC2!$D$100+TableC2!$O$100)</f>
        <v>264.9435095377587</v>
      </c>
      <c r="F11" s="281">
        <f>1000*C105*(TableC2!G9+TableC2!R9)/(TableC2!$D$100+TableC2!$O$100)</f>
        <v>1.0814272089818815</v>
      </c>
      <c r="G11" s="281">
        <f>1000*C105*(TableC2!H9+TableC2!S9)/(TableC2!$D$100+TableC2!$O$100)</f>
        <v>3967.4335251632124</v>
      </c>
      <c r="H11" s="281">
        <f>1000*C105*(TableC2!I9+TableC2!T9)/(TableC2!$D$100+TableC2!$O$100)</f>
        <v>726.35610050393393</v>
      </c>
      <c r="I11" s="281">
        <f>1000*C105*(TableC2!J9+TableC2!U9)/(TableC2!$D$100+TableC2!$O$100)</f>
        <v>64.849010653530868</v>
      </c>
      <c r="J11" s="281">
        <f>1000*C105*(TableC2!K9+TableC2!V9)/(TableC2!$D$100+TableC2!$O$100)</f>
        <v>2670.4091895370866</v>
      </c>
      <c r="K11" s="308">
        <f>1000*C105*(TableC2!L9+TableC2!W9)/(TableC2!$D$100+TableC2!$O$100)</f>
        <v>22542.588120095086</v>
      </c>
      <c r="L11" s="290">
        <f>1000*C105*(TableC2!M9+TableC2!X9)/(TableC2!$D$100+TableC2!$O$100)</f>
        <v>1037.341318873204</v>
      </c>
      <c r="M11" s="295">
        <f>1000*C105*(TableC2!N9+TableC2!Y9)/(TableC2!$D$100+TableC2!$O$100)</f>
        <v>21505.246801221881</v>
      </c>
      <c r="N11" s="308">
        <f>1000*C105*TableC3!C9/TableC3!$C$91</f>
        <v>2752.9889269856953</v>
      </c>
      <c r="O11" s="308">
        <f>1000*C105*TableC3!D9/TableC3!$C$91</f>
        <v>-244.21062473235204</v>
      </c>
      <c r="P11" s="281">
        <f>1000*C105*TableC3!E9/TableC3!$C$91</f>
        <v>-294.81712406057483</v>
      </c>
      <c r="Q11" s="281">
        <f>1000*C105*TableC3!F9/TableC3!$C$91</f>
        <v>0.56851347270198349</v>
      </c>
      <c r="R11" s="281">
        <f>1000*C105*TableC3!G9/TableC3!$C$91</f>
        <v>50.03798585552078</v>
      </c>
      <c r="S11" s="281">
        <f>1000*C105*TableC3!H9/TableC3!$C$91</f>
        <v>0</v>
      </c>
      <c r="T11" s="281">
        <f>1000*C105*TableC3!I9/TableC3!$C$91</f>
        <v>0</v>
      </c>
      <c r="U11" s="281">
        <f>1000*C105*TableC3!J9/TableC3!$C$91</f>
        <v>0</v>
      </c>
      <c r="V11" s="308">
        <f>1000*C105*TableC3!K9/TableC3!$C$91</f>
        <v>2997.1995517180471</v>
      </c>
      <c r="W11" s="290">
        <f>1000*C105*TableC3!L9/TableC3!$C$91</f>
        <v>0</v>
      </c>
      <c r="X11" s="289">
        <f>1000*C105*TableC3!M9/TableC3!$C$91</f>
        <v>2997.1995517180471</v>
      </c>
    </row>
    <row r="12" spans="2:29" ht="14" customHeight="1" x14ac:dyDescent="0.35">
      <c r="B12" s="311" t="s">
        <v>33</v>
      </c>
      <c r="C12" s="308">
        <f>1000*C105*(TableC2!D10+TableC2!O10)/(TableC2!$D$100+TableC2!$O$100)</f>
        <v>4718.4182275650437</v>
      </c>
      <c r="D12" s="308">
        <f>1000*C105*(TableC2!E10+TableC2!P10)/(TableC2!$D$100+TableC2!$O$100)</f>
        <v>3558.0804382736842</v>
      </c>
      <c r="E12" s="281">
        <f>1000*C105*(TableC2!F10+TableC2!Q10)/(TableC2!$D$100+TableC2!$O$100)</f>
        <v>540.27025873435741</v>
      </c>
      <c r="F12" s="281">
        <f>1000*C105*(TableC2!G10+TableC2!R10)/(TableC2!$D$100+TableC2!$O$100)</f>
        <v>18.997453456479864</v>
      </c>
      <c r="G12" s="281">
        <f>1000*C105*(TableC2!H10+TableC2!S10)/(TableC2!$D$100+TableC2!$O$100)</f>
        <v>1041.6918922293494</v>
      </c>
      <c r="H12" s="281">
        <f>1000*C105*(TableC2!I10+TableC2!T10)/(TableC2!$D$100+TableC2!$O$100)</f>
        <v>889.95821811022472</v>
      </c>
      <c r="I12" s="281">
        <f>1000*C105*(TableC2!J10+TableC2!U10)/(TableC2!$D$100+TableC2!$O$100)</f>
        <v>146.38317010953702</v>
      </c>
      <c r="J12" s="281">
        <f>1000*C105*(TableC2!K10+TableC2!V10)/(TableC2!$D$100+TableC2!$O$100)</f>
        <v>920.7794456337366</v>
      </c>
      <c r="K12" s="308">
        <f>1000*C105*(TableC2!L10+TableC2!W10)/(TableC2!$D$100+TableC2!$O$100)</f>
        <v>1160.3377892913588</v>
      </c>
      <c r="L12" s="290">
        <f>1000*C105*(TableC2!M10+TableC2!X10)/(TableC2!$D$100+TableC2!$O$100)</f>
        <v>669.16349729705837</v>
      </c>
      <c r="M12" s="295">
        <f>1000*C105*(TableC2!N10+TableC2!Y10)/(TableC2!$D$100+TableC2!$O$100)</f>
        <v>491.17429199430035</v>
      </c>
      <c r="N12" s="308">
        <f>1000*C105*TableC3!C10/TableC3!$C$91</f>
        <v>3503.3016254258978</v>
      </c>
      <c r="O12" s="308">
        <f>1000*C105*TableC3!D10/TableC3!$C$91</f>
        <v>582.89126693892149</v>
      </c>
      <c r="P12" s="281">
        <f>1000*C105*TableC3!E10/TableC3!$C$91</f>
        <v>207.42429696016259</v>
      </c>
      <c r="Q12" s="281">
        <f>1000*C105*TableC3!F10/TableC3!$C$91</f>
        <v>0</v>
      </c>
      <c r="R12" s="281">
        <f>1000*C105*TableC3!G10/TableC3!$C$91</f>
        <v>14.859494868026852</v>
      </c>
      <c r="S12" s="281">
        <f>1000*C105*TableC3!H10/TableC3!$C$91</f>
        <v>0</v>
      </c>
      <c r="T12" s="281">
        <f>1000*C105*TableC3!I10/TableC3!$C$91</f>
        <v>11.621524453048851</v>
      </c>
      <c r="U12" s="281">
        <f>1000*C105*TableC3!J10/TableC3!$C$91</f>
        <v>348.98595065768319</v>
      </c>
      <c r="V12" s="308">
        <f>1000*C105*TableC3!K10/TableC3!$C$91</f>
        <v>2920.4103584869758</v>
      </c>
      <c r="W12" s="290">
        <f>1000*C105*TableC3!L10/TableC3!$C$91</f>
        <v>2831.987619343613</v>
      </c>
      <c r="X12" s="289">
        <f>1000*C105*TableC3!M10/TableC3!$C$91</f>
        <v>88.422739143362989</v>
      </c>
      <c r="AA12" s="253" t="s">
        <v>409</v>
      </c>
      <c r="AB12" s="253" t="s">
        <v>408</v>
      </c>
    </row>
    <row r="13" spans="2:29" ht="14" customHeight="1" x14ac:dyDescent="0.35">
      <c r="B13" s="311" t="s">
        <v>34</v>
      </c>
      <c r="C13" s="308"/>
      <c r="D13" s="308"/>
      <c r="E13" s="281"/>
      <c r="F13" s="281"/>
      <c r="G13" s="281"/>
      <c r="H13" s="281"/>
      <c r="I13" s="281"/>
      <c r="J13" s="281"/>
      <c r="K13" s="308"/>
      <c r="L13" s="290"/>
      <c r="M13" s="295"/>
      <c r="N13" s="308"/>
      <c r="O13" s="308"/>
      <c r="P13" s="281"/>
      <c r="Q13" s="281"/>
      <c r="R13" s="281"/>
      <c r="S13" s="281"/>
      <c r="T13" s="281"/>
      <c r="U13" s="281"/>
      <c r="V13" s="308"/>
      <c r="W13" s="290"/>
      <c r="X13" s="289"/>
      <c r="Z13" s="253" t="s">
        <v>333</v>
      </c>
      <c r="AA13" s="348">
        <f>+C12+C16+C17+C18+C19+C20+C21+C22+C23+C27+C37+C36+C38+C39+C40+C41+C44</f>
        <v>326557.6834908984</v>
      </c>
      <c r="AB13" s="346">
        <f>+[3]TableA2!F10+[3]TableA2!F11+[3]TableA2!F16+[3]TableA2!F17+[3]TableA2!F18+[3]TableA2!F19+[3]TableA2!F20+[3]TableA2!F21+[3]TableA2!F22+[3]TableA2!F26+[3]TableA2!F29+[3]TableA2!F35+[3]TableA2!F36+[3]TableA2!F37+[3]TableA2!F38+[3]TableA2!F39+[3]TableA2!F40+[3]TableA2!F43+[3]TableA2!F15</f>
        <v>2118.1107471611385</v>
      </c>
      <c r="AC13" s="277">
        <f>+AA13/(AB13*1000)</f>
        <v>0.15417403642778224</v>
      </c>
    </row>
    <row r="14" spans="2:29" ht="14" customHeight="1" x14ac:dyDescent="0.35">
      <c r="B14" s="311" t="s">
        <v>35</v>
      </c>
      <c r="C14" s="308">
        <f>1000*C105*(TableC2!D12+TableC2!O12)/(TableC2!$D$100+TableC2!$O$100)</f>
        <v>25814.30585077588</v>
      </c>
      <c r="D14" s="308">
        <f>1000*C105*(TableC2!E12+TableC2!P12)/(TableC2!$D$100+TableC2!$O$100)</f>
        <v>4412.6641005845404</v>
      </c>
      <c r="E14" s="281">
        <f>1000*C105*(TableC2!F12+TableC2!Q12)/(TableC2!$D$100+TableC2!$O$100)</f>
        <v>253.28797372518693</v>
      </c>
      <c r="F14" s="281">
        <f>1000*C105*(TableC2!G12+TableC2!R12)/(TableC2!$D$100+TableC2!$O$100)</f>
        <v>1.0814272089818815</v>
      </c>
      <c r="G14" s="281">
        <f>1000*C105*(TableC2!H12+TableC2!S12)/(TableC2!$D$100+TableC2!$O$100)</f>
        <v>1139.4804121771294</v>
      </c>
      <c r="H14" s="281">
        <f>1000*C105*(TableC2!I12+TableC2!T12)/(TableC2!$D$100+TableC2!$O$100)</f>
        <v>560.39077294535537</v>
      </c>
      <c r="I14" s="281">
        <f>1000*C105*(TableC2!J12+TableC2!U12)/(TableC2!$D$100+TableC2!$O$100)</f>
        <v>328.13080365311134</v>
      </c>
      <c r="J14" s="281">
        <f>1000*C105*(TableC2!K12+TableC2!V12)/(TableC2!$D$100+TableC2!$O$100)</f>
        <v>2130.2927108747754</v>
      </c>
      <c r="K14" s="308">
        <f>1000*C105*(TableC2!L12+TableC2!W12)/(TableC2!$D$100+TableC2!$O$100)</f>
        <v>21401.641750191335</v>
      </c>
      <c r="L14" s="290">
        <f>1000*C105*(TableC2!M12+TableC2!X12)/(TableC2!$D$100+TableC2!$O$100)</f>
        <v>1095.560720318909</v>
      </c>
      <c r="M14" s="295">
        <f>1000*C105*(TableC2!N12+TableC2!Y12)/(TableC2!$D$100+TableC2!$O$100)</f>
        <v>20306.081029872428</v>
      </c>
      <c r="N14" s="308">
        <f>1000*C105*TableC3!C12/TableC3!$C$91</f>
        <v>25830.015412063894</v>
      </c>
      <c r="O14" s="308">
        <f>1000*C105*TableC3!D12/TableC3!$C$91</f>
        <v>6776.0950934330231</v>
      </c>
      <c r="P14" s="281">
        <f>1000*C105*TableC3!E12/TableC3!$C$91</f>
        <v>-356.74253047967363</v>
      </c>
      <c r="Q14" s="281">
        <f>1000*C105*TableC3!F12/TableC3!$C$91</f>
        <v>0</v>
      </c>
      <c r="R14" s="281">
        <f>1000*C105*TableC3!G12/TableC3!$C$91</f>
        <v>245.46194725215798</v>
      </c>
      <c r="S14" s="281">
        <f>1000*C105*TableC3!H12/TableC3!$C$91</f>
        <v>6200.6442755954213</v>
      </c>
      <c r="T14" s="281">
        <f>1000*C105*TableC3!I12/TableC3!$C$91</f>
        <v>0</v>
      </c>
      <c r="U14" s="281">
        <f>1000*C105*TableC3!J12/TableC3!$C$91</f>
        <v>686.73140106511801</v>
      </c>
      <c r="V14" s="308">
        <f>1000*C105*TableC3!K12/TableC3!$C$91</f>
        <v>19053.920318630866</v>
      </c>
      <c r="W14" s="290">
        <f>1000*C105*TableC3!L12/TableC3!$C$91</f>
        <v>15619.135129467066</v>
      </c>
      <c r="X14" s="289">
        <f>1000*C105*TableC3!M12/TableC3!$C$91</f>
        <v>3434.785189163802</v>
      </c>
      <c r="Z14" s="253" t="s">
        <v>354</v>
      </c>
      <c r="AA14" s="347">
        <f>C45</f>
        <v>165286.86205757735</v>
      </c>
      <c r="AB14" s="346">
        <f>+[3]TableA2!F44</f>
        <v>1889.3969000000002</v>
      </c>
      <c r="AC14" s="277">
        <f>+AA14/(AB14*1000)</f>
        <v>8.7481281491240584E-2</v>
      </c>
    </row>
    <row r="15" spans="2:29" ht="14" customHeight="1" x14ac:dyDescent="0.35">
      <c r="B15" s="311" t="s">
        <v>36</v>
      </c>
      <c r="C15" s="308">
        <f>1000*C105*(TableC2!D13+TableC2!O13)/(TableC2!$D$100+TableC2!$O$100)</f>
        <v>9113.7105364196723</v>
      </c>
      <c r="D15" s="308">
        <f>1000*C105*(TableC2!E13+TableC2!P13)/(TableC2!$D$100+TableC2!$O$100)</f>
        <v>1171.419381685979</v>
      </c>
      <c r="E15" s="281">
        <f>1000*C105*(TableC2!F13+TableC2!Q13)/(TableC2!$D$100+TableC2!$O$100)</f>
        <v>67.658755826088509</v>
      </c>
      <c r="F15" s="281">
        <f>1000*C105*(TableC2!G13+TableC2!R13)/(TableC2!$D$100+TableC2!$O$100)</f>
        <v>0</v>
      </c>
      <c r="G15" s="281">
        <f>1000*C105*(TableC2!H13+TableC2!S13)/(TableC2!$D$100+TableC2!$O$100)</f>
        <v>303.61978521330053</v>
      </c>
      <c r="H15" s="281">
        <f>1000*C105*(TableC2!I13+TableC2!T13)/(TableC2!$D$100+TableC2!$O$100)</f>
        <v>139.26684661466953</v>
      </c>
      <c r="I15" s="281">
        <f>1000*C105*(TableC2!J13+TableC2!U13)/(TableC2!$D$100+TableC2!$O$100)</f>
        <v>3.9050951514162886</v>
      </c>
      <c r="J15" s="281">
        <f>1000*C105*(TableC2!K13+TableC2!V13)/(TableC2!$D$100+TableC2!$O$100)</f>
        <v>656.96889888050418</v>
      </c>
      <c r="K15" s="308">
        <f>1000*C105*(TableC2!L13+TableC2!W13)/(TableC2!$D$100+TableC2!$O$100)</f>
        <v>7942.2911547336926</v>
      </c>
      <c r="L15" s="290">
        <f>1000*C105*(TableC2!M13+TableC2!X13)/(TableC2!$D$100+TableC2!$O$100)</f>
        <v>240.42171024000868</v>
      </c>
      <c r="M15" s="295">
        <f>1000*C105*(TableC2!N13+TableC2!Y13)/(TableC2!$D$100+TableC2!$O$100)</f>
        <v>7701.8694444936855</v>
      </c>
      <c r="N15" s="308">
        <f>1000*C105*TableC3!C13/TableC3!$C$91</f>
        <v>-164.20626684581151</v>
      </c>
      <c r="O15" s="308">
        <f>1000*C105*TableC3!D13/TableC3!$C$91</f>
        <v>-191.4108004593125</v>
      </c>
      <c r="P15" s="281">
        <f>1000*C105*TableC3!E13/TableC3!$C$91</f>
        <v>-189.53948835860237</v>
      </c>
      <c r="Q15" s="281">
        <f>1000*C105*TableC3!F13/TableC3!$C$91</f>
        <v>0</v>
      </c>
      <c r="R15" s="281">
        <f>1000*C105*TableC3!G13/TableC3!$C$91</f>
        <v>-11.994129752310053</v>
      </c>
      <c r="S15" s="281">
        <f>1000*C105*TableC3!H13/TableC3!$C$91</f>
        <v>3.407328524562764</v>
      </c>
      <c r="T15" s="281">
        <f>1000*C105*TableC3!I13/TableC3!$C$91</f>
        <v>0</v>
      </c>
      <c r="U15" s="281">
        <f>1000*C105*TableC3!J13/TableC3!$C$91</f>
        <v>6.7154891270371335</v>
      </c>
      <c r="V15" s="308">
        <f>1000*C105*TableC3!K13/TableC3!$C$91</f>
        <v>27.204533613500978</v>
      </c>
      <c r="W15" s="290">
        <f>1000*C105*TableC3!L13/TableC3!$C$91</f>
        <v>0</v>
      </c>
      <c r="X15" s="289">
        <f>1000*C105*TableC3!M13/TableC3!$C$91</f>
        <v>27.204533613500978</v>
      </c>
    </row>
    <row r="16" spans="2:29" ht="14" customHeight="1" x14ac:dyDescent="0.35">
      <c r="B16" s="311" t="s">
        <v>37</v>
      </c>
      <c r="C16" s="308">
        <f>1000*C105*(TableC2!D14+TableC2!O14)/(TableC2!$D$100+TableC2!$O$100)</f>
        <v>2797.9236849221484</v>
      </c>
      <c r="D16" s="308">
        <f>1000*C105*(TableC2!E14+TableC2!P14)/(TableC2!$D$100+TableC2!$O$100)</f>
        <v>2292.3669895432499</v>
      </c>
      <c r="E16" s="281">
        <f>1000*C105*(TableC2!F14+TableC2!Q14)/(TableC2!$D$100+TableC2!$O$100)</f>
        <v>401.00478968952228</v>
      </c>
      <c r="F16" s="281">
        <f>1000*C105*(TableC2!G14+TableC2!R14)/(TableC2!$D$100+TableC2!$O$100)</f>
        <v>6.1686992899730644</v>
      </c>
      <c r="G16" s="281">
        <f>1000*C105*(TableC2!H14+TableC2!S14)/(TableC2!$D$100+TableC2!$O$100)</f>
        <v>648.22350701469236</v>
      </c>
      <c r="H16" s="281">
        <f>1000*C105*(TableC2!I14+TableC2!T14)/(TableC2!$D$100+TableC2!$O$100)</f>
        <v>432.61232038035592</v>
      </c>
      <c r="I16" s="281">
        <f>1000*C105*(TableC2!J14+TableC2!U14)/(TableC2!$D$100+TableC2!$O$100)</f>
        <v>42.438054171515105</v>
      </c>
      <c r="J16" s="281">
        <f>1000*C105*(TableC2!K14+TableC2!V14)/(TableC2!$D$100+TableC2!$O$100)</f>
        <v>761.91961899719149</v>
      </c>
      <c r="K16" s="308">
        <f>1000*C105*(TableC2!L14+TableC2!W14)/(TableC2!$D$100+TableC2!$O$100)</f>
        <v>505.55669537889816</v>
      </c>
      <c r="L16" s="290">
        <f>1000*C105*(TableC2!M14+TableC2!X14)/(TableC2!$D$100+TableC2!$O$100)</f>
        <v>434.57539254247723</v>
      </c>
      <c r="M16" s="295">
        <f>1000*C105*(TableC2!N14+TableC2!Y14)/(TableC2!$D$100+TableC2!$O$100)</f>
        <v>70.981302836420923</v>
      </c>
      <c r="N16" s="308">
        <f>1000*C105*TableC3!C14/TableC3!$C$91</f>
        <v>742.4207877394382</v>
      </c>
      <c r="O16" s="308">
        <f>1000*C105*TableC3!D14/TableC3!$C$91</f>
        <v>742.20966429391433</v>
      </c>
      <c r="P16" s="281">
        <f>1000*C105*TableC3!E14/TableC3!$C$91</f>
        <v>740.76455113775273</v>
      </c>
      <c r="Q16" s="281">
        <f>1000*C105*TableC3!F14/TableC3!$C$91</f>
        <v>0</v>
      </c>
      <c r="R16" s="281">
        <f>1000*C105*TableC3!G14/TableC3!$C$91</f>
        <v>1.4451131561616302</v>
      </c>
      <c r="S16" s="281">
        <f>1000*C105*TableC3!H14/TableC3!$C$91</f>
        <v>0</v>
      </c>
      <c r="T16" s="281">
        <f>1000*C105*TableC3!I14/TableC3!$C$91</f>
        <v>0</v>
      </c>
      <c r="U16" s="281">
        <f>1000*C105*TableC3!J14/TableC3!$C$91</f>
        <v>0</v>
      </c>
      <c r="V16" s="308">
        <f>1000*C105*TableC3!K14/TableC3!$C$91</f>
        <v>0.21112344552389678</v>
      </c>
      <c r="W16" s="290">
        <f>1000*C105*TableC3!L14/TableC3!$C$91</f>
        <v>0</v>
      </c>
      <c r="X16" s="289">
        <f>1000*C105*TableC3!M14/TableC3!$C$91</f>
        <v>0.21112344552389678</v>
      </c>
    </row>
    <row r="17" spans="1:24" ht="14" customHeight="1" x14ac:dyDescent="0.35">
      <c r="B17" s="311" t="s">
        <v>38</v>
      </c>
      <c r="C17" s="308">
        <f>1000*C105*(TableC2!D15+TableC2!O15)/(TableC2!$D$100+TableC2!$O$100)</f>
        <v>5591.569782686287</v>
      </c>
      <c r="D17" s="308">
        <f>1000*C105*(TableC2!E15+TableC2!P15)/(TableC2!$D$100+TableC2!$O$100)</f>
        <v>4859.1966617289791</v>
      </c>
      <c r="E17" s="281">
        <f>1000*C105*(TableC2!F15+TableC2!Q15)/(TableC2!$D$100+TableC2!$O$100)</f>
        <v>560.40255068929889</v>
      </c>
      <c r="F17" s="281">
        <f>1000*C105*(TableC2!G15+TableC2!R15)/(TableC2!$D$100+TableC2!$O$100)</f>
        <v>22.265015450994401</v>
      </c>
      <c r="G17" s="281">
        <f>1000*C105*(TableC2!H15+TableC2!S15)/(TableC2!$D$100+TableC2!$O$100)</f>
        <v>1810.9418534014405</v>
      </c>
      <c r="H17" s="281">
        <f>1000*C105*(TableC2!I15+TableC2!T15)/(TableC2!$D$100+TableC2!$O$100)</f>
        <v>682.63662332975616</v>
      </c>
      <c r="I17" s="281">
        <f>1000*C105*(TableC2!J15+TableC2!U15)/(TableC2!$D$100+TableC2!$O$100)</f>
        <v>272.56743483508512</v>
      </c>
      <c r="J17" s="281">
        <f>1000*C105*(TableC2!K15+TableC2!V15)/(TableC2!$D$100+TableC2!$O$100)</f>
        <v>1510.3831840224034</v>
      </c>
      <c r="K17" s="308">
        <f>1000*C105*(TableC2!L15+TableC2!W15)/(TableC2!$D$100+TableC2!$O$100)</f>
        <v>732.3731209573084</v>
      </c>
      <c r="L17" s="290">
        <f>1000*C105*(TableC2!M15+TableC2!X15)/(TableC2!$D$100+TableC2!$O$100)</f>
        <v>299.09223642390606</v>
      </c>
      <c r="M17" s="295">
        <f>1000*C105*(TableC2!N15+TableC2!Y15)/(TableC2!$D$100+TableC2!$O$100)</f>
        <v>433.28088453340223</v>
      </c>
      <c r="N17" s="308">
        <f>1000*C105*TableC3!C15/TableC3!$C$91</f>
        <v>5714.7774938510065</v>
      </c>
      <c r="O17" s="308">
        <f>1000*C105*TableC3!D15/TableC3!$C$91</f>
        <v>3325.6966922853385</v>
      </c>
      <c r="P17" s="281">
        <f>1000*C105*TableC3!E15/TableC3!$C$91</f>
        <v>329.68927174245687</v>
      </c>
      <c r="Q17" s="281">
        <f>1000*C105*TableC3!F15/TableC3!$C$91</f>
        <v>0.42029082016173752</v>
      </c>
      <c r="R17" s="281">
        <f>1000*C105*TableC3!G15/TableC3!$C$91</f>
        <v>149.04496219320711</v>
      </c>
      <c r="S17" s="281">
        <f>1000*C105*TableC3!H15/TableC3!$C$91</f>
        <v>0</v>
      </c>
      <c r="T17" s="281">
        <f>1000*C105*TableC3!I15/TableC3!$C$91</f>
        <v>1.2633680326573951</v>
      </c>
      <c r="U17" s="281">
        <f>1000*C105*TableC3!J15/TableC3!$C$91</f>
        <v>2845.2787994968553</v>
      </c>
      <c r="V17" s="308">
        <f>1000*C105*TableC3!K15/TableC3!$C$91</f>
        <v>2389.080801565668</v>
      </c>
      <c r="W17" s="290">
        <f>1000*C105*TableC3!L15/TableC3!$C$91</f>
        <v>1381.2991305470841</v>
      </c>
      <c r="X17" s="289">
        <f>1000*C105*TableC3!M15/TableC3!$C$91</f>
        <v>1007.7816710185839</v>
      </c>
    </row>
    <row r="18" spans="1:24" ht="14" customHeight="1" x14ac:dyDescent="0.35">
      <c r="B18" s="321" t="s">
        <v>39</v>
      </c>
      <c r="C18" s="308">
        <f>1000*C105*(TableC2!D16+TableC2!O16)/(TableC2!$D$100+TableC2!$O$100)</f>
        <v>408.08481532341386</v>
      </c>
      <c r="D18" s="308">
        <f>1000*C105*(TableC2!E16+TableC2!P16)/(TableC2!$D$100+TableC2!$O$100)</f>
        <v>323.75966080703211</v>
      </c>
      <c r="E18" s="281">
        <f>1000*C105*(TableC2!F16+TableC2!Q16)/(TableC2!$D$100+TableC2!$O$100)</f>
        <v>66.025126854782712</v>
      </c>
      <c r="F18" s="281">
        <f>1000*C105*(TableC2!G16+TableC2!R16)/(TableC2!$D$100+TableC2!$O$100)</f>
        <v>0.22796944147775833</v>
      </c>
      <c r="G18" s="281">
        <f>1000*C105*(TableC2!H16+TableC2!S16)/(TableC2!$D$100+TableC2!$O$100)</f>
        <v>55.108623258694713</v>
      </c>
      <c r="H18" s="281">
        <f>1000*C105*(TableC2!I16+TableC2!T16)/(TableC2!$D$100+TableC2!$O$100)</f>
        <v>118.5711510795262</v>
      </c>
      <c r="I18" s="281">
        <f>1000*C105*(TableC2!J16+TableC2!U16)/(TableC2!$D$100+TableC2!$O$100)</f>
        <v>19.81693161329892</v>
      </c>
      <c r="J18" s="281">
        <f>1000*C105*(TableC2!K16+TableC2!V16)/(TableC2!$D$100+TableC2!$O$100)</f>
        <v>64.009858559251811</v>
      </c>
      <c r="K18" s="308">
        <f>1000*C105*(TableC2!L16+TableC2!W16)/(TableC2!$D$100+TableC2!$O$100)</f>
        <v>84.32515451638173</v>
      </c>
      <c r="L18" s="290">
        <f>1000*C105*(TableC2!M16+TableC2!X16)/(TableC2!$D$100+TableC2!$O$100)</f>
        <v>45.408800306558874</v>
      </c>
      <c r="M18" s="295">
        <f>1000*C105*(TableC2!N16+TableC2!Y16)/(TableC2!$D$100+TableC2!$O$100)</f>
        <v>38.916354209822863</v>
      </c>
      <c r="N18" s="308">
        <f>1000*C105*TableC3!C16/TableC3!$C$91</f>
        <v>-6.3763390955514394</v>
      </c>
      <c r="O18" s="308">
        <f>1000*C105*TableC3!D16/TableC3!$C$91</f>
        <v>-6.3763390955514394</v>
      </c>
      <c r="P18" s="281">
        <f>1000*C105*TableC3!E16/TableC3!$C$91</f>
        <v>-6.3865232158921037</v>
      </c>
      <c r="Q18" s="281">
        <f>1000*C105*TableC3!F16/TableC3!$C$91</f>
        <v>0</v>
      </c>
      <c r="R18" s="281">
        <f>1000*C105*TableC3!G16/TableC3!$C$91</f>
        <v>0</v>
      </c>
      <c r="S18" s="281">
        <f>1000*C105*TableC3!H16/TableC3!$C$91</f>
        <v>0</v>
      </c>
      <c r="T18" s="281">
        <f>1000*C105*TableC3!I16/TableC3!$C$91</f>
        <v>1.0184120340663344E-2</v>
      </c>
      <c r="U18" s="281">
        <f>1000*C105*TableC3!J16/TableC3!$C$91</f>
        <v>0</v>
      </c>
      <c r="V18" s="308">
        <f>1000*C105*TableC3!K16/TableC3!$C$91</f>
        <v>0</v>
      </c>
      <c r="W18" s="290">
        <f>1000*C105*TableC3!L16/TableC3!$C$91</f>
        <v>0</v>
      </c>
      <c r="X18" s="289">
        <f>1000*C105*TableC3!M16/TableC3!$C$91</f>
        <v>0</v>
      </c>
    </row>
    <row r="19" spans="1:24" ht="14" customHeight="1" x14ac:dyDescent="0.35">
      <c r="B19" s="311" t="s">
        <v>40</v>
      </c>
      <c r="C19" s="308">
        <f>1000*C105*(TableC2!D17+TableC2!O17)/(TableC2!$D$100+TableC2!$O$100)</f>
        <v>4768.2215123263177</v>
      </c>
      <c r="D19" s="308">
        <f>1000*C105*(TableC2!E17+TableC2!P17)/(TableC2!$D$100+TableC2!$O$100)</f>
        <v>3892.7822650130265</v>
      </c>
      <c r="E19" s="281">
        <f>1000*C105*(TableC2!F17+TableC2!Q17)/(TableC2!$D$100+TableC2!$O$100)</f>
        <v>332.11118678884003</v>
      </c>
      <c r="F19" s="281">
        <f>1000*C105*(TableC2!G17+TableC2!R17)/(TableC2!$D$100+TableC2!$O$100)</f>
        <v>1.8237555318220666</v>
      </c>
      <c r="G19" s="281">
        <f>1000*C105*(TableC2!H17+TableC2!S17)/(TableC2!$D$100+TableC2!$O$100)</f>
        <v>1275.9996518829416</v>
      </c>
      <c r="H19" s="281">
        <f>1000*C105*(TableC2!I17+TableC2!T17)/(TableC2!$D$100+TableC2!$O$100)</f>
        <v>894.65244862205861</v>
      </c>
      <c r="I19" s="281">
        <f>1000*C105*(TableC2!J17+TableC2!U17)/(TableC2!$D$100+TableC2!$O$100)</f>
        <v>88.263570409232699</v>
      </c>
      <c r="J19" s="281">
        <f>1000*C105*(TableC2!K17+TableC2!V17)/(TableC2!$D$100+TableC2!$O$100)</f>
        <v>1299.9316517781306</v>
      </c>
      <c r="K19" s="308">
        <f>1000*C105*(TableC2!L17+TableC2!W17)/(TableC2!$D$100+TableC2!$O$100)</f>
        <v>875.43924731329116</v>
      </c>
      <c r="L19" s="290">
        <f>1000*C105*(TableC2!M17+TableC2!X17)/(TableC2!$D$100+TableC2!$O$100)</f>
        <v>274.54248464586055</v>
      </c>
      <c r="M19" s="295">
        <f>1000*C105*(TableC2!N17+TableC2!Y17)/(TableC2!$D$100+TableC2!$O$100)</f>
        <v>600.89676266743083</v>
      </c>
      <c r="N19" s="308">
        <f>1000*C105*TableC3!C17/TableC3!$C$91</f>
        <v>3552.7714801927609</v>
      </c>
      <c r="O19" s="308">
        <f>1000*C105*TableC3!D17/TableC3!$C$91</f>
        <v>3208.2746792155449</v>
      </c>
      <c r="P19" s="281">
        <f>1000*C105*TableC3!E17/TableC3!$C$91</f>
        <v>1373.4136875180284</v>
      </c>
      <c r="Q19" s="281">
        <f>1000*C105*TableC3!F17/TableC3!$C$91</f>
        <v>0.5807255927424112</v>
      </c>
      <c r="R19" s="281">
        <f>1000*C105*TableC3!G17/TableC3!$C$91</f>
        <v>-25.711686202724987</v>
      </c>
      <c r="S19" s="281">
        <f>1000*C105*TableC3!H17/TableC3!$C$91</f>
        <v>0</v>
      </c>
      <c r="T19" s="281">
        <f>1000*C105*TableC3!I17/TableC3!$C$91</f>
        <v>0</v>
      </c>
      <c r="U19" s="281">
        <f>1000*C105*TableC3!J17/TableC3!$C$91</f>
        <v>1859.9919523074989</v>
      </c>
      <c r="V19" s="308">
        <f>1000*C105*TableC3!K17/TableC3!$C$91</f>
        <v>344.49680097721591</v>
      </c>
      <c r="W19" s="290">
        <f>1000*C105*TableC3!L17/TableC3!$C$91</f>
        <v>163.57372879834378</v>
      </c>
      <c r="X19" s="289">
        <f>1000*C105*TableC3!M17/TableC3!$C$91</f>
        <v>180.92307217887219</v>
      </c>
    </row>
    <row r="20" spans="1:24" ht="14" customHeight="1" x14ac:dyDescent="0.35">
      <c r="B20" s="321" t="s">
        <v>41</v>
      </c>
      <c r="C20" s="308">
        <f>1000*C105*(TableC2!D18+TableC2!O18)/(TableC2!$D$100+TableC2!$O$100)</f>
        <v>42561.533775583353</v>
      </c>
      <c r="D20" s="308">
        <f>1000*C105*(TableC2!E18+TableC2!P18)/(TableC2!$D$100+TableC2!$O$100)</f>
        <v>35344.251136835832</v>
      </c>
      <c r="E20" s="281">
        <f>1000*C105*(TableC2!F18+TableC2!Q18)/(TableC2!$D$100+TableC2!$O$100)</f>
        <v>5049.5269906345247</v>
      </c>
      <c r="F20" s="281">
        <f>1000*C105*(TableC2!G18+TableC2!R18)/(TableC2!$D$100+TableC2!$O$100)</f>
        <v>25.07663856255342</v>
      </c>
      <c r="G20" s="281">
        <f>1000*C105*(TableC2!H18+TableC2!S18)/(TableC2!$D$100+TableC2!$O$100)</f>
        <v>7548.8988752919649</v>
      </c>
      <c r="H20" s="281">
        <f>1000*C105*(TableC2!I18+TableC2!T18)/(TableC2!$D$100+TableC2!$O$100)</f>
        <v>13574.932562268164</v>
      </c>
      <c r="I20" s="281">
        <f>1000*C105*(TableC2!J18+TableC2!U18)/(TableC2!$D$100+TableC2!$O$100)</f>
        <v>454.96598287963229</v>
      </c>
      <c r="J20" s="281">
        <f>1000*C105*(TableC2!K18+TableC2!V18)/(TableC2!$D$100+TableC2!$O$100)</f>
        <v>8690.8500871989927</v>
      </c>
      <c r="K20" s="308">
        <f>1000*C105*(TableC2!L18+TableC2!W18)/(TableC2!$D$100+TableC2!$O$100)</f>
        <v>7217.2826387475207</v>
      </c>
      <c r="L20" s="290">
        <f>1000*C105*(TableC2!M18+TableC2!X18)/(TableC2!$D$100+TableC2!$O$100)</f>
        <v>2963.4808463686295</v>
      </c>
      <c r="M20" s="295">
        <f>1000*C105*(TableC2!N18+TableC2!Y18)/(TableC2!$D$100+TableC2!$O$100)</f>
        <v>4253.8017923788912</v>
      </c>
      <c r="N20" s="308">
        <f>1000*C105*TableC3!C18/TableC3!$C$91</f>
        <v>101204.13076440617</v>
      </c>
      <c r="O20" s="308">
        <f>1000*C105*TableC3!D18/TableC3!$C$91</f>
        <v>79991.720421332662</v>
      </c>
      <c r="P20" s="281">
        <f>1000*C105*TableC3!E18/TableC3!$C$91</f>
        <v>62037.365775093756</v>
      </c>
      <c r="Q20" s="281">
        <f>1000*C105*TableC3!F18/TableC3!$C$91</f>
        <v>12.111367035977704</v>
      </c>
      <c r="R20" s="281">
        <f>1000*C105*TableC3!G18/TableC3!$C$91</f>
        <v>2096.9741444541396</v>
      </c>
      <c r="S20" s="281">
        <f>1000*C105*TableC3!H18/TableC3!$C$91</f>
        <v>-507.1779895688303</v>
      </c>
      <c r="T20" s="281">
        <f>1000*C105*TableC3!I18/TableC3!$C$91</f>
        <v>26.982884684485121</v>
      </c>
      <c r="U20" s="281">
        <f>1000*C105*TableC3!J18/TableC3!$C$91</f>
        <v>16325.464239633124</v>
      </c>
      <c r="V20" s="308">
        <f>1000*C105*TableC3!K18/TableC3!$C$91</f>
        <v>21212.410343073512</v>
      </c>
      <c r="W20" s="290">
        <f>1000*C105*TableC3!L18/TableC3!$C$91</f>
        <v>18084.517271289547</v>
      </c>
      <c r="X20" s="289">
        <f>1000*C105*TableC3!M18/TableC3!$C$91</f>
        <v>3127.8930717839639</v>
      </c>
    </row>
    <row r="21" spans="1:24" ht="14" customHeight="1" x14ac:dyDescent="0.35">
      <c r="B21" s="311" t="s">
        <v>42</v>
      </c>
      <c r="C21" s="308">
        <f>1000*C105*(TableC2!D19+TableC2!O19)/(TableC2!$D$100+TableC2!$O$100)</f>
        <v>75553.7655535628</v>
      </c>
      <c r="D21" s="308">
        <f>1000*C105*(TableC2!E19+TableC2!P19)/(TableC2!$D$100+TableC2!$O$100)</f>
        <v>63358.034600243584</v>
      </c>
      <c r="E21" s="281">
        <f>1000*C105*(TableC2!F19+TableC2!Q19)/(TableC2!$D$100+TableC2!$O$100)</f>
        <v>5710.7617065713657</v>
      </c>
      <c r="F21" s="281">
        <f>1000*C105*(TableC2!G19+TableC2!R19)/(TableC2!$D$100+TableC2!$O$100)</f>
        <v>77.509610102437847</v>
      </c>
      <c r="G21" s="281">
        <f>1000*C105*(TableC2!H19+TableC2!S19)/(TableC2!$D$100+TableC2!$O$100)</f>
        <v>13454.862920574031</v>
      </c>
      <c r="H21" s="281">
        <f>1000*C105*(TableC2!I19+TableC2!T19)/(TableC2!$D$100+TableC2!$O$100)</f>
        <v>23505.059110162969</v>
      </c>
      <c r="I21" s="281">
        <f>1000*C105*(TableC2!J19+TableC2!U19)/(TableC2!$D$100+TableC2!$O$100)</f>
        <v>988.82450221470435</v>
      </c>
      <c r="J21" s="281">
        <f>1000*C105*(TableC2!K19+TableC2!V19)/(TableC2!$D$100+TableC2!$O$100)</f>
        <v>19621.016750618081</v>
      </c>
      <c r="K21" s="308">
        <f>1000*C105*(TableC2!L19+TableC2!W19)/(TableC2!$D$100+TableC2!$O$100)</f>
        <v>12195.730953319209</v>
      </c>
      <c r="L21" s="290">
        <f>1000*C105*(TableC2!M19+TableC2!X19)/(TableC2!$D$100+TableC2!$O$100)</f>
        <v>6171.9766222881672</v>
      </c>
      <c r="M21" s="295">
        <f>1000*C105*(TableC2!N19+TableC2!Y19)/(TableC2!$D$100+TableC2!$O$100)</f>
        <v>6023.7543310310402</v>
      </c>
      <c r="N21" s="308">
        <f>1000*C105*TableC3!C19/TableC3!$C$91</f>
        <v>56043.276613532995</v>
      </c>
      <c r="O21" s="308">
        <f>1000*C105*TableC3!D19/TableC3!$C$91</f>
        <v>39890.082681876556</v>
      </c>
      <c r="P21" s="281">
        <f>1000*C105*TableC3!E19/TableC3!$C$91</f>
        <v>6064.7984386357693</v>
      </c>
      <c r="Q21" s="281">
        <f>1000*C105*TableC3!F19/TableC3!$C$91</f>
        <v>1076.2768959564098</v>
      </c>
      <c r="R21" s="281">
        <f>1000*C105*TableC3!G19/TableC3!$C$91</f>
        <v>415.16003500137805</v>
      </c>
      <c r="S21" s="281">
        <f>1000*C105*TableC3!H19/TableC3!$C$91</f>
        <v>1537.8211098934041</v>
      </c>
      <c r="T21" s="281">
        <f>1000*C105*TableC3!I19/TableC3!$C$91</f>
        <v>0</v>
      </c>
      <c r="U21" s="281">
        <f>1000*C105*TableC3!J19/TableC3!$C$91</f>
        <v>30796.026202389596</v>
      </c>
      <c r="V21" s="308">
        <f>1000*C105*TableC3!K19/TableC3!$C$91</f>
        <v>16153.193931656437</v>
      </c>
      <c r="W21" s="290">
        <f>1000*C105*TableC3!L19/TableC3!$C$91</f>
        <v>13633.416137079988</v>
      </c>
      <c r="X21" s="289">
        <f>1000*C105*TableC3!M19/TableC3!$C$91</f>
        <v>2519.7777945764497</v>
      </c>
    </row>
    <row r="22" spans="1:24" ht="14" customHeight="1" x14ac:dyDescent="0.35">
      <c r="B22" s="311" t="s">
        <v>43</v>
      </c>
      <c r="C22" s="308">
        <f>1000*C105*(TableC2!D20+TableC2!O20)/(TableC2!$D$100+TableC2!$O$100)</f>
        <v>1921.7787716980913</v>
      </c>
      <c r="D22" s="308">
        <f>1000*C105*(TableC2!E20+TableC2!P20)/(TableC2!$D$100+TableC2!$O$100)</f>
        <v>1619.9962735856684</v>
      </c>
      <c r="E22" s="281">
        <f>1000*C105*(TableC2!F20+TableC2!Q20)/(TableC2!$D$100+TableC2!$O$100)</f>
        <v>245.7279940774857</v>
      </c>
      <c r="F22" s="281">
        <f>1000*C105*(TableC2!G20+TableC2!R20)/(TableC2!$D$100+TableC2!$O$100)</f>
        <v>66.111138028549931</v>
      </c>
      <c r="G22" s="281">
        <f>1000*C105*(TableC2!H20+TableC2!S20)/(TableC2!$D$100+TableC2!$O$100)</f>
        <v>453.1939588809131</v>
      </c>
      <c r="H22" s="281">
        <f>1000*C105*(TableC2!I20+TableC2!T20)/(TableC2!$D$100+TableC2!$O$100)</f>
        <v>280.08146822313302</v>
      </c>
      <c r="I22" s="281">
        <f>1000*C105*(TableC2!J20+TableC2!U20)/(TableC2!$D$100+TableC2!$O$100)</f>
        <v>53.714314636047078</v>
      </c>
      <c r="J22" s="281">
        <f>1000*C105*(TableC2!K20+TableC2!V20)/(TableC2!$D$100+TableC2!$O$100)</f>
        <v>521.16739973953997</v>
      </c>
      <c r="K22" s="308">
        <f>1000*C105*(TableC2!L20+TableC2!W20)/(TableC2!$D$100+TableC2!$O$100)</f>
        <v>301.78249811242267</v>
      </c>
      <c r="L22" s="290">
        <f>1000*C105*(TableC2!M20+TableC2!X20)/(TableC2!$D$100+TableC2!$O$100)</f>
        <v>266.83968612261339</v>
      </c>
      <c r="M22" s="295">
        <f>1000*C105*(TableC2!N20+TableC2!Y20)/(TableC2!$D$100+TableC2!$O$100)</f>
        <v>34.942811989809258</v>
      </c>
      <c r="N22" s="308">
        <f>1000*C105*TableC3!C20/TableC3!$C$91</f>
        <v>691.11122333230651</v>
      </c>
      <c r="O22" s="308">
        <f>1000*C105*TableC3!D20/TableC3!$C$91</f>
        <v>689.85380565665901</v>
      </c>
      <c r="P22" s="281">
        <f>1000*C105*TableC3!E20/TableC3!$C$91</f>
        <v>509.37374679482247</v>
      </c>
      <c r="Q22" s="281">
        <f>1000*C105*TableC3!F20/TableC3!$C$91</f>
        <v>130.60009672985399</v>
      </c>
      <c r="R22" s="281">
        <f>1000*C105*TableC3!G20/TableC3!$C$91</f>
        <v>4.9486903261703539</v>
      </c>
      <c r="S22" s="281">
        <f>1000*C105*TableC3!H20/TableC3!$C$91</f>
        <v>0</v>
      </c>
      <c r="T22" s="281">
        <f>1000*C105*TableC3!I20/TableC3!$C$91</f>
        <v>0</v>
      </c>
      <c r="U22" s="281">
        <f>1000*C105*TableC3!J20/TableC3!$C$91</f>
        <v>44.931271805812173</v>
      </c>
      <c r="V22" s="308">
        <f>1000*C105*TableC3!K20/TableC3!$C$91</f>
        <v>1.2574176756474746</v>
      </c>
      <c r="W22" s="290">
        <f>1000*C105*TableC3!L20/TableC3!$C$91</f>
        <v>0</v>
      </c>
      <c r="X22" s="289">
        <f>1000*C105*TableC3!M20/TableC3!$C$91</f>
        <v>1.2574176756474746</v>
      </c>
    </row>
    <row r="23" spans="1:24" ht="14" customHeight="1" x14ac:dyDescent="0.35">
      <c r="B23" s="311" t="s">
        <v>44</v>
      </c>
      <c r="C23" s="308">
        <f>1000*C105*(TableC2!D21+TableC2!O21)/(TableC2!$D$100+TableC2!$O$100)</f>
        <v>5770.9681178497931</v>
      </c>
      <c r="D23" s="308">
        <f>1000*C105*(TableC2!E21+TableC2!P21)/(TableC2!$D$100+TableC2!$O$100)</f>
        <v>4947.0156062836795</v>
      </c>
      <c r="E23" s="281">
        <f>1000*C105*(TableC2!F21+TableC2!Q21)/(TableC2!$D$100+TableC2!$O$100)</f>
        <v>238.57475691891054</v>
      </c>
      <c r="F23" s="281">
        <f>1000*C105*(TableC2!G21+TableC2!R21)/(TableC2!$D$100+TableC2!$O$100)</f>
        <v>0.91187776591103331</v>
      </c>
      <c r="G23" s="281">
        <f>1000*C105*(TableC2!H21+TableC2!S21)/(TableC2!$D$100+TableC2!$O$100)</f>
        <v>3547.9097558282588</v>
      </c>
      <c r="H23" s="281">
        <f>1000*C105*(TableC2!I21+TableC2!T21)/(TableC2!$D$100+TableC2!$O$100)</f>
        <v>243.33521039450395</v>
      </c>
      <c r="I23" s="281">
        <f>1000*C105*(TableC2!J21+TableC2!U21)/(TableC2!$D$100+TableC2!$O$100)</f>
        <v>15.905695110674136</v>
      </c>
      <c r="J23" s="281">
        <f>1000*C105*(TableC2!K21+TableC2!V21)/(TableC2!$D$100+TableC2!$O$100)</f>
        <v>900.37831026542221</v>
      </c>
      <c r="K23" s="308">
        <f>1000*C105*(TableC2!L21+TableC2!W21)/(TableC2!$D$100+TableC2!$O$100)</f>
        <v>823.95251156611323</v>
      </c>
      <c r="L23" s="290">
        <f>1000*C105*(TableC2!M21+TableC2!X21)/(TableC2!$D$100+TableC2!$O$100)</f>
        <v>181.19825417665044</v>
      </c>
      <c r="M23" s="295">
        <f>1000*C105*(TableC2!N21+TableC2!Y21)/(TableC2!$D$100+TableC2!$O$100)</f>
        <v>642.75425738946285</v>
      </c>
      <c r="N23" s="308">
        <f>1000*C105*TableC3!C21/TableC3!$C$91</f>
        <v>786.38578849991529</v>
      </c>
      <c r="O23" s="308">
        <f>1000*C105*TableC3!D21/TableC3!$C$91</f>
        <v>775.43934119500739</v>
      </c>
      <c r="P23" s="281">
        <f>1000*C105*TableC3!E21/TableC3!$C$91</f>
        <v>609.48130998714907</v>
      </c>
      <c r="Q23" s="281">
        <f>1000*C105*TableC3!F21/TableC3!$C$91</f>
        <v>0</v>
      </c>
      <c r="R23" s="281">
        <f>1000*C105*TableC3!G21/TableC3!$C$91</f>
        <v>0</v>
      </c>
      <c r="S23" s="281">
        <f>1000*C105*TableC3!H21/TableC3!$C$91</f>
        <v>139.35591341458928</v>
      </c>
      <c r="T23" s="281">
        <f>1000*C105*TableC3!I21/TableC3!$C$91</f>
        <v>0</v>
      </c>
      <c r="U23" s="281">
        <f>1000*C105*TableC3!J21/TableC3!$C$91</f>
        <v>26.602117793268864</v>
      </c>
      <c r="V23" s="308">
        <f>1000*C105*TableC3!K21/TableC3!$C$91</f>
        <v>10.946447304908043</v>
      </c>
      <c r="W23" s="290">
        <f>1000*C105*TableC3!L21/TableC3!$C$91</f>
        <v>0</v>
      </c>
      <c r="X23" s="289">
        <f>1000*C105*TableC3!M21/TableC3!$C$91</f>
        <v>10.946447304908043</v>
      </c>
    </row>
    <row r="24" spans="1:24" ht="14" customHeight="1" x14ac:dyDescent="0.35">
      <c r="B24" s="311" t="s">
        <v>45</v>
      </c>
      <c r="C24" s="308">
        <f>1000*C105*(TableC2!D22+TableC2!O22)/(TableC2!$D$100+TableC2!$O$100)</f>
        <v>658.83319122273554</v>
      </c>
      <c r="D24" s="308">
        <f>1000*C105*(TableC2!E22+TableC2!P22)/(TableC2!$D$100+TableC2!$O$100)</f>
        <v>248.03209192409989</v>
      </c>
      <c r="E24" s="281">
        <f>1000*C105*(TableC2!F22+TableC2!Q22)/(TableC2!$D$100+TableC2!$O$100)</f>
        <v>5.7656580528913048</v>
      </c>
      <c r="F24" s="281">
        <f>1000*C105*(TableC2!G22+TableC2!R22)/(TableC2!$D$100+TableC2!$O$100)</f>
        <v>0</v>
      </c>
      <c r="G24" s="281">
        <f>1000*C105*(TableC2!H22+TableC2!S22)/(TableC2!$D$100+TableC2!$O$100)</f>
        <v>103.90656259279689</v>
      </c>
      <c r="H24" s="281">
        <f>1000*C105*(TableC2!I22+TableC2!T22)/(TableC2!$D$100+TableC2!$O$100)</f>
        <v>56.997786250934226</v>
      </c>
      <c r="I24" s="281">
        <f>1000*C105*(TableC2!J22+TableC2!U22)/(TableC2!$D$100+TableC2!$O$100)</f>
        <v>2.2804073587831812</v>
      </c>
      <c r="J24" s="281">
        <f>1000*C105*(TableC2!K22+TableC2!V22)/(TableC2!$D$100+TableC2!$O$100)</f>
        <v>79.081677668694297</v>
      </c>
      <c r="K24" s="308">
        <f>1000*C105*(TableC2!L22+TableC2!W22)/(TableC2!$D$100+TableC2!$O$100)</f>
        <v>410.80109929863556</v>
      </c>
      <c r="L24" s="290">
        <f>1000*C105*(TableC2!M22+TableC2!X22)/(TableC2!$D$100+TableC2!$O$100)</f>
        <v>87.254827991400077</v>
      </c>
      <c r="M24" s="295">
        <f>1000*C105*(TableC2!N22+TableC2!Y22)/(TableC2!$D$100+TableC2!$O$100)</f>
        <v>323.54627130723554</v>
      </c>
      <c r="N24" s="308">
        <f>1000*C105*TableC3!C22/TableC3!$C$91</f>
        <v>21.545884020911913</v>
      </c>
      <c r="O24" s="308">
        <f>1000*C105*TableC3!D22/TableC3!$C$91</f>
        <v>20.466596345864254</v>
      </c>
      <c r="P24" s="281">
        <f>1000*C105*TableC3!E22/TableC3!$C$91</f>
        <v>20.387258709751112</v>
      </c>
      <c r="Q24" s="281">
        <f>1000*C105*TableC3!F22/TableC3!$C$91</f>
        <v>7.9337636113147023E-2</v>
      </c>
      <c r="R24" s="281">
        <f>1000*C105*TableC3!G22/TableC3!$C$91</f>
        <v>0</v>
      </c>
      <c r="S24" s="281">
        <f>1000*C105*TableC3!H22/TableC3!$C$91</f>
        <v>0</v>
      </c>
      <c r="T24" s="281">
        <f>1000*C105*TableC3!I22/TableC3!$C$91</f>
        <v>0</v>
      </c>
      <c r="U24" s="281">
        <f>1000*C105*TableC3!J22/TableC3!$C$91</f>
        <v>0</v>
      </c>
      <c r="V24" s="308">
        <f>1000*C105*TableC3!K22/TableC3!$C$91</f>
        <v>1.0792876750476579</v>
      </c>
      <c r="W24" s="290">
        <f>1000*C105*TableC3!L22/TableC3!$C$91</f>
        <v>0</v>
      </c>
      <c r="X24" s="289">
        <f>1000*C105*TableC3!M22/TableC3!$C$91</f>
        <v>1.0792876750476579</v>
      </c>
    </row>
    <row r="25" spans="1:24" ht="14" customHeight="1" x14ac:dyDescent="0.35">
      <c r="B25" s="311" t="s">
        <v>46</v>
      </c>
      <c r="C25" s="308"/>
      <c r="D25" s="308"/>
      <c r="E25" s="281"/>
      <c r="F25" s="281"/>
      <c r="G25" s="281"/>
      <c r="H25" s="281"/>
      <c r="I25" s="281"/>
      <c r="J25" s="281"/>
      <c r="K25" s="308"/>
      <c r="L25" s="290"/>
      <c r="M25" s="295"/>
      <c r="N25" s="308"/>
      <c r="O25" s="308"/>
      <c r="P25" s="281"/>
      <c r="Q25" s="281"/>
      <c r="R25" s="281"/>
      <c r="S25" s="281"/>
      <c r="T25" s="281"/>
      <c r="U25" s="281"/>
      <c r="V25" s="308"/>
      <c r="W25" s="290"/>
      <c r="X25" s="289"/>
    </row>
    <row r="26" spans="1:24" ht="14" customHeight="1" x14ac:dyDescent="0.35">
      <c r="B26" s="311" t="s">
        <v>47</v>
      </c>
      <c r="C26" s="308">
        <f>1000*C105*(TableC2!D24+TableC2!O24)/(TableC2!$D$100+TableC2!$O$100)</f>
        <v>4859.5584270358759</v>
      </c>
      <c r="D26" s="308">
        <f>1000*C105*(TableC2!E24+TableC2!P24)/(TableC2!$D$100+TableC2!$O$100)</f>
        <v>379.74861187579035</v>
      </c>
      <c r="E26" s="281">
        <f>1000*C105*(TableC2!F24+TableC2!Q24)/(TableC2!$D$100+TableC2!$O$100)</f>
        <v>86.656404071607398</v>
      </c>
      <c r="F26" s="281">
        <f>1000*C105*(TableC2!G24+TableC2!R24)/(TableC2!$D$100+TableC2!$O$100)</f>
        <v>38.618884850847387</v>
      </c>
      <c r="G26" s="281">
        <f>1000*C105*(TableC2!H24+TableC2!S24)/(TableC2!$D$100+TableC2!$O$100)</f>
        <v>-37.439834489318628</v>
      </c>
      <c r="H26" s="281">
        <f>1000*C105*(TableC2!I24+TableC2!T24)/(TableC2!$D$100+TableC2!$O$100)</f>
        <v>68.700916637794251</v>
      </c>
      <c r="I26" s="281">
        <f>1000*C105*(TableC2!J24+TableC2!U24)/(TableC2!$D$100+TableC2!$O$100)</f>
        <v>189.34356441045313</v>
      </c>
      <c r="J26" s="281">
        <f>1000*C105*(TableC2!K24+TableC2!V24)/(TableC2!$D$100+TableC2!$O$100)</f>
        <v>33.868676394406734</v>
      </c>
      <c r="K26" s="308">
        <f>1000*C105*(TableC2!L24+TableC2!W24)/(TableC2!$D$100+TableC2!$O$100)</f>
        <v>4479.8098151600852</v>
      </c>
      <c r="L26" s="290">
        <f>1000*C105*(TableC2!M24+TableC2!X24)/(TableC2!$D$100+TableC2!$O$100)</f>
        <v>570.79702884455958</v>
      </c>
      <c r="M26" s="295">
        <f>1000*C105*(TableC2!N24+TableC2!Y24)/(TableC2!$D$100+TableC2!$O$100)</f>
        <v>3909.0127863155258</v>
      </c>
      <c r="N26" s="308">
        <f>1000*C105*TableC3!C24/TableC3!$C$91</f>
        <v>839.78643578119431</v>
      </c>
      <c r="O26" s="308">
        <f>1000*C105*TableC3!D24/TableC3!$C$91</f>
        <v>103.9534152141854</v>
      </c>
      <c r="P26" s="281">
        <f>1000*C105*TableC3!E24/TableC3!$C$91</f>
        <v>-61.021356626668215</v>
      </c>
      <c r="Q26" s="281">
        <f>1000*C105*TableC3!F24/TableC3!$C$91</f>
        <v>53.040467073061599</v>
      </c>
      <c r="R26" s="281">
        <f>1000*C105*TableC3!G24/TableC3!$C$91</f>
        <v>37.400942908514395</v>
      </c>
      <c r="S26" s="281">
        <f>1000*C105*TableC3!H24/TableC3!$C$91</f>
        <v>74.533361859277619</v>
      </c>
      <c r="T26" s="281">
        <f>1000*C105*TableC3!I24/TableC3!$C$91</f>
        <v>0</v>
      </c>
      <c r="U26" s="281">
        <f>1000*C105*TableC3!J24/TableC3!$C$91</f>
        <v>0</v>
      </c>
      <c r="V26" s="308">
        <f>1000*C105*TableC3!K24/TableC3!$C$91</f>
        <v>735.83302056700893</v>
      </c>
      <c r="W26" s="290">
        <f>1000*C105*TableC3!L24/TableC3!$C$91</f>
        <v>627.90133551292524</v>
      </c>
      <c r="X26" s="289">
        <f>1000*C105*TableC3!M24/TableC3!$C$91</f>
        <v>107.93168505408363</v>
      </c>
    </row>
    <row r="27" spans="1:24" ht="14" customHeight="1" x14ac:dyDescent="0.35">
      <c r="B27" s="311" t="s">
        <v>48</v>
      </c>
      <c r="C27" s="308">
        <f>1000*C105*(TableC2!D25+TableC2!O25)/(TableC2!$D$100+TableC2!$O$100)</f>
        <v>28931.180857915278</v>
      </c>
      <c r="D27" s="308">
        <f>1000*C105*(TableC2!E25+TableC2!P25)/(TableC2!$D$100+TableC2!$O$100)</f>
        <v>25653.677506498854</v>
      </c>
      <c r="E27" s="281">
        <f>1000*C105*(TableC2!F25+TableC2!Q25)/(TableC2!$D$100+TableC2!$O$100)</f>
        <v>1749.4405083997367</v>
      </c>
      <c r="F27" s="281">
        <f>1000*C105*(TableC2!G25+TableC2!R25)/(TableC2!$D$100+TableC2!$O$100)</f>
        <v>30.709225174016058</v>
      </c>
      <c r="G27" s="281">
        <f>1000*C105*(TableC2!H25+TableC2!S25)/(TableC2!$D$100+TableC2!$O$100)</f>
        <v>6613.8176977637331</v>
      </c>
      <c r="H27" s="281">
        <f>1000*C105*(TableC2!I25+TableC2!T25)/(TableC2!$D$100+TableC2!$O$100)</f>
        <v>12505.910187990372</v>
      </c>
      <c r="I27" s="281">
        <f>1000*C105*(TableC2!J25+TableC2!U25)/(TableC2!$D$100+TableC2!$O$100)</f>
        <v>261.30487672227031</v>
      </c>
      <c r="J27" s="281">
        <f>1000*C105*(TableC2!K25+TableC2!V25)/(TableC2!$D$100+TableC2!$O$100)</f>
        <v>4492.495010448728</v>
      </c>
      <c r="K27" s="308">
        <f>1000*C105*(TableC2!L25+TableC2!W25)/(TableC2!$D$100+TableC2!$O$100)</f>
        <v>3277.5033514164243</v>
      </c>
      <c r="L27" s="290">
        <f>1000*C105*(TableC2!M25+TableC2!X25)/(TableC2!$D$100+TableC2!$O$100)</f>
        <v>2078.4155366078467</v>
      </c>
      <c r="M27" s="295">
        <f>1000*C105*(TableC2!N25+TableC2!Y25)/(TableC2!$D$100+TableC2!$O$100)</f>
        <v>1199.0878148085771</v>
      </c>
      <c r="N27" s="308">
        <f>1000*C105*TableC3!C25/TableC3!$C$91</f>
        <v>5885.7130178039051</v>
      </c>
      <c r="O27" s="308">
        <f>1000*C105*TableC3!D25/TableC3!$C$91</f>
        <v>3963.0400191577214</v>
      </c>
      <c r="P27" s="281">
        <f>1000*C105*TableC3!E25/TableC3!$C$91</f>
        <v>398.07642303225344</v>
      </c>
      <c r="Q27" s="281">
        <f>1000*C105*TableC3!F25/TableC3!$C$91</f>
        <v>5.2886769091101495</v>
      </c>
      <c r="R27" s="281">
        <f>1000*C105*TableC3!G25/TableC3!$C$91</f>
        <v>1016.8505016492145</v>
      </c>
      <c r="S27" s="281">
        <f>1000*C105*TableC3!H25/TableC3!$C$91</f>
        <v>-285.84882969007236</v>
      </c>
      <c r="T27" s="281">
        <f>1000*C105*TableC3!I25/TableC3!$C$91</f>
        <v>40.35917394397319</v>
      </c>
      <c r="U27" s="281">
        <f>1000*C105*TableC3!J25/TableC3!$C$91</f>
        <v>2788.3140733132423</v>
      </c>
      <c r="V27" s="308">
        <f>1000*C105*TableC3!K25/TableC3!$C$91</f>
        <v>1922.6729986461837</v>
      </c>
      <c r="W27" s="290">
        <f>1000*C105*TableC3!L25/TableC3!$C$91</f>
        <v>1700.3778265488108</v>
      </c>
      <c r="X27" s="289">
        <f>1000*C105*TableC3!M25/TableC3!$C$91</f>
        <v>222.29517209737287</v>
      </c>
    </row>
    <row r="28" spans="1:24" ht="14" customHeight="1" x14ac:dyDescent="0.35">
      <c r="B28" s="311" t="s">
        <v>49</v>
      </c>
      <c r="C28" s="308">
        <f>1000*C105*(TableC2!D26+TableC2!O26)/(TableC2!$D$100+TableC2!$O$100)</f>
        <v>17616.745199274654</v>
      </c>
      <c r="D28" s="308">
        <f>1000*C105*(TableC2!E26+TableC2!P26)/(TableC2!$D$100+TableC2!$O$100)</f>
        <v>9919.1893272295492</v>
      </c>
      <c r="E28" s="281">
        <f>1000*C105*(TableC2!F26+TableC2!Q26)/(TableC2!$D$100+TableC2!$O$100)</f>
        <v>696.70235970464762</v>
      </c>
      <c r="F28" s="281">
        <f>1000*C105*(TableC2!G26+TableC2!R26)/(TableC2!$D$100+TableC2!$O$100)</f>
        <v>6.4885632538912894</v>
      </c>
      <c r="G28" s="281">
        <f>1000*C105*(TableC2!H26+TableC2!S26)/(TableC2!$D$100+TableC2!$O$100)</f>
        <v>6350.8298549409828</v>
      </c>
      <c r="H28" s="281">
        <f>1000*C105*(TableC2!I26+TableC2!T26)/(TableC2!$D$100+TableC2!$O$100)</f>
        <v>1134.7290495729062</v>
      </c>
      <c r="I28" s="281"/>
      <c r="J28" s="281">
        <f>1000*C105*(TableC2!K26+TableC2!V26)/(TableC2!$D$100+TableC2!$O$100)</f>
        <v>1691.1088747035058</v>
      </c>
      <c r="K28" s="308">
        <f>1000*C105*(TableC2!L26+TableC2!W26)/(TableC2!$D$100+TableC2!$O$100)</f>
        <v>7697.5558720451027</v>
      </c>
      <c r="L28" s="290">
        <f>1000*C105*(TableC2!M26+TableC2!X26)/(TableC2!$D$100+TableC2!$O$100)</f>
        <v>1474.3850178661685</v>
      </c>
      <c r="M28" s="295">
        <f>1000*C105*(TableC2!N26+TableC2!Y26)/(TableC2!$D$100+TableC2!$O$100)</f>
        <v>6223.170854178934</v>
      </c>
      <c r="N28" s="308">
        <f>1000*C105*TableC3!C26/TableC3!$C$91</f>
        <v>30338.145868181065</v>
      </c>
      <c r="O28" s="308">
        <f>1000*C105*TableC3!D26/TableC3!$C$91</f>
        <v>13346.559297639062</v>
      </c>
      <c r="P28" s="281">
        <f>1000*C105*TableC3!E26/TableC3!$C$91</f>
        <v>6641.7033518271392</v>
      </c>
      <c r="Q28" s="281">
        <f>1000*C105*TableC3!F26/TableC3!$C$91</f>
        <v>4.9032683181066961E-2</v>
      </c>
      <c r="R28" s="281">
        <f>1000*C105*TableC3!G26/TableC3!$C$91</f>
        <v>197.70416835542778</v>
      </c>
      <c r="S28" s="281">
        <f>1000*C105*TableC3!H26/TableC3!$C$91</f>
        <v>0</v>
      </c>
      <c r="T28" s="281">
        <f>1000*C105*TableC3!I26/TableC3!$C$91</f>
        <v>0</v>
      </c>
      <c r="U28" s="281">
        <f>1000*C105*TableC3!J26/TableC3!$C$91</f>
        <v>6507.1027447733131</v>
      </c>
      <c r="V28" s="308">
        <f>1000*C105*TableC3!K26/TableC3!$C$91</f>
        <v>16991.586570542007</v>
      </c>
      <c r="W28" s="290">
        <f>1000*C105*TableC3!L26/TableC3!$C$91</f>
        <v>4914.8209285147404</v>
      </c>
      <c r="X28" s="289">
        <f>1000*C105*TableC3!M26/TableC3!$C$91</f>
        <v>12076.765642027269</v>
      </c>
    </row>
    <row r="29" spans="1:24" ht="14" customHeight="1" x14ac:dyDescent="0.35">
      <c r="A29" s="253" t="s">
        <v>298</v>
      </c>
      <c r="B29" s="311" t="s">
        <v>50</v>
      </c>
      <c r="C29" s="308">
        <f>1000*C105*(TableC2!D27+TableC2!O27)/(TableC2!$D$100+TableC2!$O$100)</f>
        <v>10036.126203705848</v>
      </c>
      <c r="D29" s="308">
        <f>1000*C105*(TableC2!E27+TableC2!P27)/(TableC2!$D$100+TableC2!$O$100)</f>
        <v>1899.3057273713875</v>
      </c>
      <c r="E29" s="281">
        <f>1000*C105*(TableC2!F27+TableC2!Q27)/(TableC2!$D$100+TableC2!$O$100)</f>
        <v>96.48478974504809</v>
      </c>
      <c r="F29" s="281">
        <f>1000*C105*(TableC2!G27+TableC2!R27)/(TableC2!$D$100+TableC2!$O$100)</f>
        <v>21.628544179637633</v>
      </c>
      <c r="G29" s="281">
        <f>1000*C105*(TableC2!H27+TableC2!S27)/(TableC2!$D$100+TableC2!$O$100)</f>
        <v>923.3888924202754</v>
      </c>
      <c r="H29" s="281">
        <f>1000*C105*(TableC2!I27+TableC2!T27)/(TableC2!$D$100+TableC2!$O$100)</f>
        <v>193.680307633127</v>
      </c>
      <c r="I29" s="281">
        <f>1000*C105*(TableC2!J27+TableC2!U27)/(TableC2!$D$100+TableC2!$O$100)</f>
        <v>4.602433571312055</v>
      </c>
      <c r="J29" s="281">
        <f>1000*C105*(TableC2!K27+TableC2!V27)/(TableC2!$D$100+TableC2!$O$100)</f>
        <v>659.52075982198755</v>
      </c>
      <c r="K29" s="308">
        <f>1000*C105*(TableC2!L27+TableC2!W27)/(TableC2!$D$100+TableC2!$O$100)</f>
        <v>8136.8204763344593</v>
      </c>
      <c r="L29" s="290">
        <f>1000*C105*(TableC2!M27+TableC2!X27)/(TableC2!$D$100+TableC2!$O$100)</f>
        <v>1620.975074321786</v>
      </c>
      <c r="M29" s="295">
        <f>1000*C105*(TableC2!N27+TableC2!Y27)/(TableC2!$D$100+TableC2!$O$100)</f>
        <v>6515.8454020126746</v>
      </c>
      <c r="N29" s="308">
        <f>1000*C105*TableC3!C27/TableC3!$C$91</f>
        <v>2461.1786400522851</v>
      </c>
      <c r="O29" s="308">
        <f>1000*C105*TableC3!D27/TableC3!$C$91</f>
        <v>1225.9919381312175</v>
      </c>
      <c r="P29" s="281">
        <f>1000*C105*TableC3!E27/TableC3!$C$91</f>
        <v>513.56498733854085</v>
      </c>
      <c r="Q29" s="281">
        <f>1000*C105*TableC3!F27/TableC3!$C$91</f>
        <v>2.1701935350228102E-2</v>
      </c>
      <c r="R29" s="281">
        <f>1000*C105*TableC3!G27/TableC3!$C$91</f>
        <v>0</v>
      </c>
      <c r="S29" s="281">
        <f>1000*C105*TableC3!H27/TableC3!$C$91</f>
        <v>0</v>
      </c>
      <c r="T29" s="281">
        <f>1000*C105*TableC3!I27/TableC3!$C$91</f>
        <v>0</v>
      </c>
      <c r="U29" s="281">
        <f>1000*C105*TableC3!J27/TableC3!$C$91</f>
        <v>712.40524885732634</v>
      </c>
      <c r="V29" s="308">
        <f>1000*C105*TableC3!K27/TableC3!$C$91</f>
        <v>1235.1867019210679</v>
      </c>
      <c r="W29" s="290">
        <f>1000*C105*TableC3!L27/TableC3!$C$91</f>
        <v>0</v>
      </c>
      <c r="X29" s="289">
        <f>1000*C105*TableC3!M27/TableC3!$C$91</f>
        <v>1235.1867019210679</v>
      </c>
    </row>
    <row r="30" spans="1:24" ht="14" customHeight="1" x14ac:dyDescent="0.35">
      <c r="B30" s="297" t="s">
        <v>51</v>
      </c>
      <c r="C30" s="308">
        <f>1000*C105*(TableC2!D28+TableC2!O28)/(TableC2!$D$100+TableC2!$O$100)</f>
        <v>383.6170255288759</v>
      </c>
      <c r="D30" s="308">
        <f>1000*C105*(TableC2!E28+TableC2!P28)/(TableC2!$D$100+TableC2!$O$100)</f>
        <v>280.47261694361919</v>
      </c>
      <c r="E30" s="281">
        <f>1000*C105*(TableC2!F28+TableC2!Q28)/(TableC2!$D$100+TableC2!$O$100)</f>
        <v>35.248023791806091</v>
      </c>
      <c r="F30" s="281">
        <f>1000*C105*(TableC2!G28+TableC2!R28)/(TableC2!$D$100+TableC2!$O$100)</f>
        <v>1.5197962765183892</v>
      </c>
      <c r="G30" s="281">
        <f>1000*C105*(TableC2!H28+TableC2!S28)/(TableC2!$D$100+TableC2!$O$100)</f>
        <v>90.51047092950283</v>
      </c>
      <c r="H30" s="281">
        <f>1000*C105*(TableC2!I28+TableC2!T28)/(TableC2!$D$100+TableC2!$O$100)</f>
        <v>96.511402041474824</v>
      </c>
      <c r="I30" s="281">
        <f>1000*C105*(TableC2!J28+TableC2!U28)/(TableC2!$D$100+TableC2!$O$100)</f>
        <v>4.1719856027997739</v>
      </c>
      <c r="J30" s="281">
        <f>1000*C105*(TableC2!K28+TableC2!V28)/(TableC2!$D$100+TableC2!$O$100)</f>
        <v>52.51093830151725</v>
      </c>
      <c r="K30" s="308">
        <f>1000*C105*(TableC2!L28+TableC2!W28)/(TableC2!$D$100+TableC2!$O$100)</f>
        <v>103.14440858525668</v>
      </c>
      <c r="L30" s="290">
        <f>1000*C105*(TableC2!M28+TableC2!X28)/(TableC2!$D$100+TableC2!$O$100)</f>
        <v>41.847946723062442</v>
      </c>
      <c r="M30" s="295">
        <f>1000*C105*(TableC2!N28+TableC2!Y28)/(TableC2!$D$100+TableC2!$O$100)</f>
        <v>61.296461862194235</v>
      </c>
      <c r="N30" s="308">
        <f>1000*C105*TableC3!C28/TableC3!$C$91</f>
        <v>-2.0401092318074165</v>
      </c>
      <c r="O30" s="308">
        <f>1000*C105*TableC3!D28/TableC3!$C$91</f>
        <v>-2.1737098791805534</v>
      </c>
      <c r="P30" s="281">
        <f>1000*C105*TableC3!E28/TableC3!$C$91</f>
        <v>-2.8135896953364998</v>
      </c>
      <c r="Q30" s="281">
        <f>1000*C105*TableC3!F28/TableC3!$C$91</f>
        <v>0.63987981615594669</v>
      </c>
      <c r="R30" s="281">
        <f>1000*C105*TableC3!G28/TableC3!$C$91</f>
        <v>0</v>
      </c>
      <c r="S30" s="281">
        <f>1000*C105*TableC3!H28/TableC3!$C$91</f>
        <v>0</v>
      </c>
      <c r="T30" s="281">
        <f>1000*C105*TableC3!I28/TableC3!$C$91</f>
        <v>0</v>
      </c>
      <c r="U30" s="281">
        <f>1000*C105*TableC3!J28/TableC3!$C$91</f>
        <v>0</v>
      </c>
      <c r="V30" s="308">
        <f>1000*C105*TableC3!K28/TableC3!$C$91</f>
        <v>0.13360064737313682</v>
      </c>
      <c r="W30" s="290">
        <f>1000*C105*TableC3!L28/TableC3!$C$91</f>
        <v>0</v>
      </c>
      <c r="X30" s="289">
        <f>1000*C105*TableC3!M28/TableC3!$C$91</f>
        <v>0.13360064737313682</v>
      </c>
    </row>
    <row r="31" spans="1:24" ht="14" customHeight="1" x14ac:dyDescent="0.35">
      <c r="B31" s="297" t="s">
        <v>52</v>
      </c>
      <c r="C31" s="308"/>
      <c r="D31" s="308"/>
      <c r="E31" s="281"/>
      <c r="F31" s="281"/>
      <c r="G31" s="281"/>
      <c r="H31" s="281"/>
      <c r="I31" s="281"/>
      <c r="J31" s="281"/>
      <c r="K31" s="308"/>
      <c r="L31" s="290"/>
      <c r="M31" s="295"/>
      <c r="N31" s="308"/>
      <c r="O31" s="308"/>
      <c r="P31" s="281"/>
      <c r="Q31" s="281"/>
      <c r="R31" s="281"/>
      <c r="S31" s="281"/>
      <c r="T31" s="281"/>
      <c r="U31" s="281"/>
      <c r="V31" s="308"/>
      <c r="W31" s="290"/>
      <c r="X31" s="289"/>
    </row>
    <row r="32" spans="1:24" ht="14" customHeight="1" x14ac:dyDescent="0.35">
      <c r="B32" s="297" t="s">
        <v>53</v>
      </c>
      <c r="C32" s="308">
        <f>1000*C105*(TableC2!D30+TableC2!O30)/(TableC2!$D$100+TableC2!$O$100)</f>
        <v>20361.605787002816</v>
      </c>
      <c r="D32" s="308">
        <f>1000*C105*(TableC2!E30+TableC2!P30)/(TableC2!$D$100+TableC2!$O$100)</f>
        <v>4377.7050772748325</v>
      </c>
      <c r="E32" s="281">
        <f>1000*C105*(TableC2!F30+TableC2!Q30)/(TableC2!$D$100+TableC2!$O$100)</f>
        <v>307.03038335884543</v>
      </c>
      <c r="F32" s="281">
        <f>1000*C105*(TableC2!G30+TableC2!R30)/(TableC2!$D$100+TableC2!$O$100)</f>
        <v>0</v>
      </c>
      <c r="G32" s="281">
        <f>1000*C105*(TableC2!H30+TableC2!S30)/(TableC2!$D$100+TableC2!$O$100)</f>
        <v>728.35954419254654</v>
      </c>
      <c r="H32" s="281">
        <f>1000*C105*(TableC2!I30+TableC2!T30)/(TableC2!$D$100+TableC2!$O$100)</f>
        <v>387.31154388811728</v>
      </c>
      <c r="I32" s="281">
        <f>1000*C105*(TableC2!J30+TableC2!U30)/(TableC2!$D$100+TableC2!$O$100)</f>
        <v>106.32329960723143</v>
      </c>
      <c r="J32" s="281">
        <f>1000*C105*(TableC2!K30+TableC2!V30)/(TableC2!$D$100+TableC2!$O$100)</f>
        <v>2848.6803062280915</v>
      </c>
      <c r="K32" s="308">
        <f>1000*C105*(TableC2!L30+TableC2!W30)/(TableC2!$D$100+TableC2!$O$100)</f>
        <v>15983.900709727979</v>
      </c>
      <c r="L32" s="290">
        <f>1000*C105*(TableC2!M30+TableC2!X30)/(TableC2!$D$100+TableC2!$O$100)</f>
        <v>737.97935726266553</v>
      </c>
      <c r="M32" s="295">
        <f>1000*C105*(TableC2!N30+TableC2!Y30)/(TableC2!$D$100+TableC2!$O$100)</f>
        <v>15245.921352465315</v>
      </c>
      <c r="N32" s="308">
        <f>1000*C105*TableC3!C30/TableC3!$C$91</f>
        <v>5716.1285531957928</v>
      </c>
      <c r="O32" s="308">
        <f>1000*C105*TableC3!D30/TableC3!$C$91</f>
        <v>4727.1638204910769</v>
      </c>
      <c r="P32" s="281">
        <f>1000*C105*TableC3!E30/TableC3!$C$91</f>
        <v>-1158.5151914106709</v>
      </c>
      <c r="Q32" s="281">
        <f>1000*C105*TableC3!F30/TableC3!$C$91</f>
        <v>2.8707057587589087E-4</v>
      </c>
      <c r="R32" s="281">
        <f>1000*C105*TableC3!G30/TableC3!$C$91</f>
        <v>29.174895092980176</v>
      </c>
      <c r="S32" s="281">
        <f>1000*C105*TableC3!H30/TableC3!$C$91</f>
        <v>0</v>
      </c>
      <c r="T32" s="281">
        <f>1000*C105*TableC3!I30/TableC3!$C$91</f>
        <v>0</v>
      </c>
      <c r="U32" s="281">
        <f>1000*C105*TableC3!J30/TableC3!$C$91</f>
        <v>5856.5038297381916</v>
      </c>
      <c r="V32" s="308">
        <f>1000*C105*TableC3!K30/TableC3!$C$91</f>
        <v>988.96473270471654</v>
      </c>
      <c r="W32" s="290">
        <f>1000*C105*TableC3!L30/TableC3!$C$91</f>
        <v>0</v>
      </c>
      <c r="X32" s="289">
        <f>1000*C105*TableC3!M30/TableC3!$C$91</f>
        <v>988.96473270471654</v>
      </c>
    </row>
    <row r="33" spans="1:24" ht="14" customHeight="1" x14ac:dyDescent="0.35">
      <c r="B33" s="297" t="s">
        <v>54</v>
      </c>
      <c r="C33" s="308"/>
      <c r="D33" s="308"/>
      <c r="E33" s="281"/>
      <c r="F33" s="281"/>
      <c r="G33" s="281"/>
      <c r="H33" s="281"/>
      <c r="I33" s="281"/>
      <c r="J33" s="281"/>
      <c r="K33" s="308"/>
      <c r="L33" s="290"/>
      <c r="M33" s="295"/>
      <c r="N33" s="308"/>
      <c r="O33" s="308"/>
      <c r="P33" s="281"/>
      <c r="Q33" s="281"/>
      <c r="R33" s="281"/>
      <c r="S33" s="281"/>
      <c r="T33" s="281"/>
      <c r="U33" s="281"/>
      <c r="V33" s="308"/>
      <c r="W33" s="290"/>
      <c r="X33" s="289"/>
    </row>
    <row r="34" spans="1:24" ht="14" customHeight="1" x14ac:dyDescent="0.35">
      <c r="B34" s="297" t="s">
        <v>55</v>
      </c>
      <c r="C34" s="308">
        <f>1000*C105*(TableC2!D32+TableC2!O32)/(TableC2!$D$100+TableC2!$O$100)</f>
        <v>3155.5257621012383</v>
      </c>
      <c r="D34" s="308">
        <f>1000*C105*(TableC2!E32+TableC2!P32)/(TableC2!$D$100+TableC2!$O$100)</f>
        <v>574.90959449815909</v>
      </c>
      <c r="E34" s="281">
        <f>1000*C105*(TableC2!F32+TableC2!Q32)/(TableC2!$D$100+TableC2!$O$100)</f>
        <v>68.820039571193547</v>
      </c>
      <c r="F34" s="281">
        <f>1000*C105*(TableC2!G32+TableC2!R32)/(TableC2!$D$100+TableC2!$O$100)</f>
        <v>0</v>
      </c>
      <c r="G34" s="281">
        <f>1000*C105*(TableC2!H32+TableC2!S32)/(TableC2!$D$100+TableC2!$O$100)</f>
        <v>170.85731973237</v>
      </c>
      <c r="H34" s="281">
        <f>1000*C105*(TableC2!I32+TableC2!T32)/(TableC2!$D$100+TableC2!$O$100)</f>
        <v>129.51253419181546</v>
      </c>
      <c r="I34" s="281">
        <f>1000*C105*(TableC2!J32+TableC2!U32)/(TableC2!$D$100+TableC2!$O$100)</f>
        <v>6.053340387591355</v>
      </c>
      <c r="J34" s="281">
        <f>1000*C105*(TableC2!K32+TableC2!V32)/(TableC2!$D$100+TableC2!$O$100)</f>
        <v>199.66636061518875</v>
      </c>
      <c r="K34" s="308">
        <f>1000*C105*(TableC2!L32+TableC2!W32)/(TableC2!$D$100+TableC2!$O$100)</f>
        <v>2580.6161676030797</v>
      </c>
      <c r="L34" s="290">
        <f>1000*C105*(TableC2!M32+TableC2!X32)/(TableC2!$D$100+TableC2!$O$100)</f>
        <v>266.10120076487209</v>
      </c>
      <c r="M34" s="295">
        <f>1000*C105*(TableC2!N32+TableC2!Y32)/(TableC2!$D$100+TableC2!$O$100)</f>
        <v>2314.5149668382078</v>
      </c>
      <c r="N34" s="308">
        <f>1000*C105*TableC3!C32/TableC3!$C$91</f>
        <v>1044.2647643125697</v>
      </c>
      <c r="O34" s="308">
        <f>1000*C105*TableC3!D32/TableC3!$C$91</f>
        <v>-170.59147811329694</v>
      </c>
      <c r="P34" s="281">
        <f>1000*C105*TableC3!E32/TableC3!$C$91</f>
        <v>-184.80753721218713</v>
      </c>
      <c r="Q34" s="281">
        <f>1000*C105*TableC3!F32/TableC3!$C$91</f>
        <v>0.31482368156623747</v>
      </c>
      <c r="R34" s="281">
        <f>1000*C105*TableC3!G32/TableC3!$C$91</f>
        <v>13.901235417323937</v>
      </c>
      <c r="S34" s="281">
        <f>1000*C105*TableC3!H32/TableC3!$C$91</f>
        <v>0</v>
      </c>
      <c r="T34" s="281">
        <f>1000*C105*TableC3!I32/TableC3!$C$91</f>
        <v>0</v>
      </c>
      <c r="U34" s="281">
        <f>1000*C105*TableC3!J32/TableC3!$C$91</f>
        <v>0</v>
      </c>
      <c r="V34" s="308">
        <f>1000*C105*TableC3!K32/TableC3!$C$91</f>
        <v>1214.8562424258666</v>
      </c>
      <c r="W34" s="290">
        <f>1000*C105*TableC3!L32/TableC3!$C$91</f>
        <v>0</v>
      </c>
      <c r="X34" s="289">
        <f>1000*C105*TableC3!M32/TableC3!$C$91</f>
        <v>1214.8562424258666</v>
      </c>
    </row>
    <row r="35" spans="1:24" ht="14" customHeight="1" x14ac:dyDescent="0.35">
      <c r="B35" s="297" t="s">
        <v>56</v>
      </c>
      <c r="C35" s="308">
        <f>1000*C105*(TableC2!D33+TableC2!O33)/(TableC2!$D$100+TableC2!$O$100)</f>
        <v>8132.3730332965597</v>
      </c>
      <c r="D35" s="308">
        <f>1000*C105*(TableC2!E33+TableC2!P33)/(TableC2!$D$100+TableC2!$O$100)</f>
        <v>3290.9096813059618</v>
      </c>
      <c r="E35" s="281">
        <f>1000*C105*(TableC2!F33+TableC2!Q33)/(TableC2!$D$100+TableC2!$O$100)</f>
        <v>194.82694486232006</v>
      </c>
      <c r="F35" s="281">
        <f>1000*C105*(TableC2!G33+TableC2!R33)/(TableC2!$D$100+TableC2!$O$100)</f>
        <v>4.325708835927526</v>
      </c>
      <c r="G35" s="281">
        <f>1000*C105*(TableC2!H33+TableC2!S33)/(TableC2!$D$100+TableC2!$O$100)</f>
        <v>1879.4305170560704</v>
      </c>
      <c r="H35" s="281">
        <f>1000*C105*(TableC2!I33+TableC2!T33)/(TableC2!$D$100+TableC2!$O$100)</f>
        <v>307.59226870556176</v>
      </c>
      <c r="I35" s="281">
        <f>1000*C105*(TableC2!J33+TableC2!U33)/(TableC2!$D$100+TableC2!$O$100)</f>
        <v>171.81822850095176</v>
      </c>
      <c r="J35" s="281">
        <f>1000*C105*(TableC2!K33+TableC2!V33)/(TableC2!$D$100+TableC2!$O$100)</f>
        <v>732.91601334513098</v>
      </c>
      <c r="K35" s="308">
        <f>1000*C105*(TableC2!L33+TableC2!W33)/(TableC2!$D$100+TableC2!$O$100)</f>
        <v>4841.4633519905983</v>
      </c>
      <c r="L35" s="290">
        <f>1000*C105*(TableC2!M33+TableC2!X33)/(TableC2!$D$100+TableC2!$O$100)</f>
        <v>275.54801744902318</v>
      </c>
      <c r="M35" s="295">
        <f>1000*C105*(TableC2!N33+TableC2!Y33)/(TableC2!$D$100+TableC2!$O$100)</f>
        <v>4565.9153345415743</v>
      </c>
      <c r="N35" s="308">
        <f>1000*C105*TableC3!C33/TableC3!$C$91</f>
        <v>8540.3864101216423</v>
      </c>
      <c r="O35" s="308">
        <f>1000*C105*TableC3!D33/TableC3!$C$91</f>
        <v>6036.5296587048351</v>
      </c>
      <c r="P35" s="281">
        <f>1000*C105*TableC3!E33/TableC3!$C$91</f>
        <v>5820.8509006730928</v>
      </c>
      <c r="Q35" s="281">
        <f>1000*C105*TableC3!F33/TableC3!$C$91</f>
        <v>0</v>
      </c>
      <c r="R35" s="281">
        <f>1000*C105*TableC3!G33/TableC3!$C$91</f>
        <v>55.101293506499061</v>
      </c>
      <c r="S35" s="281">
        <f>1000*C105*TableC3!H33/TableC3!$C$91</f>
        <v>0</v>
      </c>
      <c r="T35" s="281">
        <f>1000*C105*TableC3!I33/TableC3!$C$91</f>
        <v>0</v>
      </c>
      <c r="U35" s="281">
        <f>1000*C105*TableC3!J33/TableC3!$C$91</f>
        <v>160.57746452524253</v>
      </c>
      <c r="V35" s="308">
        <f>1000*C105*TableC3!K33/TableC3!$C$91</f>
        <v>2503.8567514168071</v>
      </c>
      <c r="W35" s="290">
        <f>1000*C105*TableC3!L33/TableC3!$C$91</f>
        <v>0</v>
      </c>
      <c r="X35" s="289">
        <f>1000*C105*TableC3!M33/TableC3!$C$91</f>
        <v>2503.8567514168071</v>
      </c>
    </row>
    <row r="36" spans="1:24" ht="14" customHeight="1" x14ac:dyDescent="0.35">
      <c r="B36" s="297" t="s">
        <v>57</v>
      </c>
      <c r="C36" s="308">
        <f>1000*C105*(TableC2!D34+TableC2!O34)/(TableC2!$D$100+TableC2!$O$100)</f>
        <v>5352.4895728422362</v>
      </c>
      <c r="D36" s="308">
        <f>1000*C105*(TableC2!E34+TableC2!P34)/(TableC2!$D$100+TableC2!$O$100)</f>
        <v>4655.4167542131663</v>
      </c>
      <c r="E36" s="281">
        <f>1000*C105*(TableC2!F34+TableC2!Q34)/(TableC2!$D$100+TableC2!$O$100)</f>
        <v>434.82051377486846</v>
      </c>
      <c r="F36" s="281">
        <f>1000*C105*(TableC2!G34+TableC2!R34)/(TableC2!$D$100+TableC2!$O$100)</f>
        <v>5.3192869678143619</v>
      </c>
      <c r="G36" s="281">
        <f>1000*C105*(TableC2!H34+TableC2!S34)/(TableC2!$D$100+TableC2!$O$100)</f>
        <v>1549.1510296450867</v>
      </c>
      <c r="H36" s="281">
        <f>1000*C105*(TableC2!I34+TableC2!T34)/(TableC2!$D$100+TableC2!$O$100)</f>
        <v>1033.9789731074959</v>
      </c>
      <c r="I36" s="281">
        <f>1000*C105*(TableC2!J34+TableC2!U34)/(TableC2!$D$100+TableC2!$O$100)</f>
        <v>184.14604023704737</v>
      </c>
      <c r="J36" s="281">
        <f>1000*C105*(TableC2!K34+TableC2!V34)/(TableC2!$D$100+TableC2!$O$100)</f>
        <v>1448.0009104808541</v>
      </c>
      <c r="K36" s="308">
        <f>1000*C105*(TableC2!L34+TableC2!W34)/(TableC2!$D$100+TableC2!$O$100)</f>
        <v>697.07281862906893</v>
      </c>
      <c r="L36" s="290">
        <f>1000*C105*(TableC2!M34+TableC2!X34)/(TableC2!$D$100+TableC2!$O$100)</f>
        <v>505.76045727666252</v>
      </c>
      <c r="M36" s="295">
        <f>1000*C105*(TableC2!N34+TableC2!Y34)/(TableC2!$D$100+TableC2!$O$100)</f>
        <v>191.31236135240658</v>
      </c>
      <c r="N36" s="308">
        <f>1000*C105*TableC3!C34/TableC3!$C$91</f>
        <v>-3972.9847568586924</v>
      </c>
      <c r="O36" s="308">
        <f>1000*C105*TableC3!D34/TableC3!$C$91</f>
        <v>-3975.8736340918331</v>
      </c>
      <c r="P36" s="281">
        <f>1000*C105*TableC3!E34/TableC3!$C$91</f>
        <v>-4700.3879275855725</v>
      </c>
      <c r="Q36" s="281">
        <f>1000*C105*TableC3!F34/TableC3!$C$91</f>
        <v>0</v>
      </c>
      <c r="R36" s="281">
        <f>1000*C105*TableC3!G34/TableC3!$C$91</f>
        <v>-28.795416221599577</v>
      </c>
      <c r="S36" s="281">
        <f>1000*C105*TableC3!H34/TableC3!$C$91</f>
        <v>0</v>
      </c>
      <c r="T36" s="281">
        <f>1000*C105*TableC3!I34/TableC3!$C$91</f>
        <v>0</v>
      </c>
      <c r="U36" s="281">
        <f>1000*C105*TableC3!J34/TableC3!$C$91</f>
        <v>753.30970971533861</v>
      </c>
      <c r="V36" s="308">
        <f>1000*C105*TableC3!K34/TableC3!$C$91</f>
        <v>2.8888772331405503</v>
      </c>
      <c r="W36" s="290">
        <f>1000*C105*TableC3!L34/TableC3!$C$91</f>
        <v>0</v>
      </c>
      <c r="X36" s="289">
        <f>1000*C105*TableC3!M34/TableC3!$C$91</f>
        <v>2.8888772331405503</v>
      </c>
    </row>
    <row r="37" spans="1:24" ht="14" customHeight="1" x14ac:dyDescent="0.35">
      <c r="B37" s="297" t="s">
        <v>58</v>
      </c>
      <c r="C37" s="308">
        <f>1000*C105*(TableC2!D35+TableC2!O35)/(TableC2!$D$100+TableC2!$O$100)</f>
        <v>3449.9354454827148</v>
      </c>
      <c r="D37" s="308">
        <f>1000*C105*(TableC2!E35+TableC2!P35)/(TableC2!$D$100+TableC2!$O$100)</f>
        <v>3102.0289090917263</v>
      </c>
      <c r="E37" s="281">
        <f>1000*C105*(TableC2!F35+TableC2!Q35)/(TableC2!$D$100+TableC2!$O$100)</f>
        <v>309.11140215279914</v>
      </c>
      <c r="F37" s="281">
        <f>1000*C105*(TableC2!G35+TableC2!R35)/(TableC2!$D$100+TableC2!$O$100)</f>
        <v>1.5197962765183892</v>
      </c>
      <c r="G37" s="281">
        <f>1000*C105*(TableC2!H35+TableC2!S35)/(TableC2!$D$100+TableC2!$O$100)</f>
        <v>862.44230749820019</v>
      </c>
      <c r="H37" s="281">
        <f>1000*C105*(TableC2!I35+TableC2!T35)/(TableC2!$D$100+TableC2!$O$100)</f>
        <v>730.84673962449199</v>
      </c>
      <c r="I37" s="281">
        <f>1000*C105*(TableC2!J35+TableC2!U35)/(TableC2!$D$100+TableC2!$O$100)</f>
        <v>43.023601528872661</v>
      </c>
      <c r="J37" s="281">
        <f>1000*C105*(TableC2!K35+TableC2!V35)/(TableC2!$D$100+TableC2!$O$100)</f>
        <v>1155.0850620108442</v>
      </c>
      <c r="K37" s="308">
        <f>1000*C105*(TableC2!L35+TableC2!W35)/(TableC2!$D$100+TableC2!$O$100)</f>
        <v>347.90653639098872</v>
      </c>
      <c r="L37" s="290">
        <f>1000*C105*(TableC2!M35+TableC2!X35)/(TableC2!$D$100+TableC2!$O$100)</f>
        <v>236.34697580179525</v>
      </c>
      <c r="M37" s="295">
        <f>1000*C105*(TableC2!N35+TableC2!Y35)/(TableC2!$D$100+TableC2!$O$100)</f>
        <v>111.55956058919354</v>
      </c>
      <c r="N37" s="308">
        <f>1000*C105*TableC3!C35/TableC3!$C$91</f>
        <v>437.08585356100201</v>
      </c>
      <c r="O37" s="308">
        <f>1000*C105*TableC3!D35/TableC3!$C$91</f>
        <v>4.9928384889446873</v>
      </c>
      <c r="P37" s="281">
        <f>1000*C105*TableC3!E35/TableC3!$C$91</f>
        <v>-245.85843039600107</v>
      </c>
      <c r="Q37" s="281">
        <f>1000*C105*TableC3!F35/TableC3!$C$91</f>
        <v>0.23537622345800008</v>
      </c>
      <c r="R37" s="281">
        <f>1000*C105*TableC3!G35/TableC3!$C$91</f>
        <v>80.274462222545338</v>
      </c>
      <c r="S37" s="281">
        <f>1000*C105*TableC3!H35/TableC3!$C$91</f>
        <v>0</v>
      </c>
      <c r="T37" s="281">
        <f>1000*C105*TableC3!I35/TableC3!$C$91</f>
        <v>0</v>
      </c>
      <c r="U37" s="281">
        <f>1000*C105*TableC3!J35/TableC3!$C$91</f>
        <v>170.34143043894244</v>
      </c>
      <c r="V37" s="308">
        <f>1000*C105*TableC3!K35/TableC3!$C$91</f>
        <v>432.09301507205726</v>
      </c>
      <c r="W37" s="290">
        <f>1000*C105*TableC3!L35/TableC3!$C$91</f>
        <v>0</v>
      </c>
      <c r="X37" s="289">
        <f>1000*C105*TableC3!M35/TableC3!$C$91</f>
        <v>432.09301507205726</v>
      </c>
    </row>
    <row r="38" spans="1:24" ht="14" customHeight="1" x14ac:dyDescent="0.35">
      <c r="A38" s="253" t="s">
        <v>59</v>
      </c>
      <c r="B38" s="297" t="s">
        <v>293</v>
      </c>
      <c r="C38" s="308">
        <f>1000*C105*(TableC2!D36+TableC2!O36)/(TableC2!$D$100+TableC2!$O$100)</f>
        <v>1049.3305818597644</v>
      </c>
      <c r="D38" s="308">
        <f>1000*C105*(TableC2!E36+TableC2!P36)/(TableC2!$D$100+TableC2!$O$100)</f>
        <v>897.20483328479088</v>
      </c>
      <c r="E38" s="281">
        <f>1000*C105*(TableC2!F36+TableC2!Q36)/(TableC2!$D$100+TableC2!$O$100)</f>
        <v>210.52714227356051</v>
      </c>
      <c r="F38" s="281">
        <f>1000*C105*(TableC2!G36+TableC2!R36)/(TableC2!$D$100+TableC2!$O$100)</f>
        <v>3.0395925530367784</v>
      </c>
      <c r="G38" s="281">
        <f>1000*C105*(TableC2!H36+TableC2!S36)/(TableC2!$D$100+TableC2!$O$100)</f>
        <v>153.95269189986357</v>
      </c>
      <c r="H38" s="281">
        <f>1000*C105*(TableC2!I36+TableC2!T36)/(TableC2!$D$100+TableC2!$O$100)</f>
        <v>313.30840804469938</v>
      </c>
      <c r="I38" s="281">
        <f>1000*C105*(TableC2!J36+TableC2!U36)/(TableC2!$D$100+TableC2!$O$100)</f>
        <v>12.907080458661799</v>
      </c>
      <c r="J38" s="281">
        <f>1000*C105*(TableC2!K36+TableC2!V36)/(TableC2!$D$100+TableC2!$O$100)</f>
        <v>203.46991805496873</v>
      </c>
      <c r="K38" s="308">
        <f>1000*C105*(TableC2!L36+TableC2!W36)/(TableC2!$D$100+TableC2!$O$100)</f>
        <v>152.12574857497358</v>
      </c>
      <c r="L38" s="290">
        <f>1000*C105*(TableC2!M36+TableC2!X36)/(TableC2!$D$100+TableC2!$O$100)</f>
        <v>116.09722714534433</v>
      </c>
      <c r="M38" s="295">
        <f>1000*C105*(TableC2!N36+TableC2!Y36)/(TableC2!$D$100+TableC2!$O$100)</f>
        <v>36.028521429629258</v>
      </c>
      <c r="N38" s="308">
        <f>1000*C105*TableC3!C36/TableC3!$C$91</f>
        <v>141.38349632334644</v>
      </c>
      <c r="O38" s="308">
        <f>1000*C105*TableC3!D36/TableC3!$C$91</f>
        <v>135.8096179680818</v>
      </c>
      <c r="P38" s="281">
        <f>1000*C105*TableC3!E36/TableC3!$C$91</f>
        <v>126.63236905704784</v>
      </c>
      <c r="Q38" s="281">
        <f>1000*C105*TableC3!F36/TableC3!$C$91</f>
        <v>0</v>
      </c>
      <c r="R38" s="281">
        <f>1000*C105*TableC3!G36/TableC3!$C$91</f>
        <v>0</v>
      </c>
      <c r="S38" s="281">
        <f>1000*C105*TableC3!H36/TableC3!$C$91</f>
        <v>0</v>
      </c>
      <c r="T38" s="281">
        <f>1000*C105*TableC3!I36/TableC3!$C$91</f>
        <v>0</v>
      </c>
      <c r="U38" s="281">
        <f>1000*C105*TableC3!J36/TableC3!$C$91</f>
        <v>9.1772489110339706</v>
      </c>
      <c r="V38" s="308">
        <f>1000*C105*TableC3!K36/TableC3!$C$91</f>
        <v>5.5738783552646396</v>
      </c>
      <c r="W38" s="290">
        <f>1000*C105*TableC3!L36/TableC3!$C$91</f>
        <v>0</v>
      </c>
      <c r="X38" s="289">
        <f>1000*C105*TableC3!M36/TableC3!$C$91</f>
        <v>5.5738783552646396</v>
      </c>
    </row>
    <row r="39" spans="1:24" ht="14" customHeight="1" x14ac:dyDescent="0.35">
      <c r="B39" s="297" t="s">
        <v>60</v>
      </c>
      <c r="C39" s="308">
        <f>1000*C105*(TableC2!D37+TableC2!O37)/(TableC2!$D$100+TableC2!$O$100)</f>
        <v>414.41801892595305</v>
      </c>
      <c r="D39" s="308">
        <f>1000*C105*(TableC2!E37+TableC2!P37)/(TableC2!$D$100+TableC2!$O$100)</f>
        <v>327.23637938914851</v>
      </c>
      <c r="E39" s="281">
        <f>1000*C105*(TableC2!F37+TableC2!Q37)/(TableC2!$D$100+TableC2!$O$100)</f>
        <v>54.084756136075704</v>
      </c>
      <c r="F39" s="281">
        <v>0</v>
      </c>
      <c r="G39" s="281">
        <f>1000*C105*(TableC2!H37+TableC2!S37)/(TableC2!$D$100+TableC2!$O$100)</f>
        <v>117.16611923392092</v>
      </c>
      <c r="H39" s="281">
        <f>1000*C105*(TableC2!I37+TableC2!T37)/(TableC2!$D$100+TableC2!$O$100)</f>
        <v>68.72886980379181</v>
      </c>
      <c r="I39" s="281">
        <f>1000*C105*(TableC2!J37+TableC2!U37)/(TableC2!$D$100+TableC2!$O$100)</f>
        <v>1.1733709507874364</v>
      </c>
      <c r="J39" s="281">
        <f>1000*C105*(TableC2!K37+TableC2!V37)/(TableC2!$D$100+TableC2!$O$100)</f>
        <v>83.04367071153591</v>
      </c>
      <c r="K39" s="308">
        <f>1000*C105*(TableC2!L37+TableC2!W37)/(TableC2!$D$100+TableC2!$O$100)</f>
        <v>87.181639536804525</v>
      </c>
      <c r="L39" s="290">
        <f>1000*C105*(TableC2!M37+TableC2!X37)/(TableC2!$D$100+TableC2!$O$100)</f>
        <v>46.950860933279714</v>
      </c>
      <c r="M39" s="295">
        <f>1000*C105*(TableC2!N37+TableC2!Y37)/(TableC2!$D$100+TableC2!$O$100)</f>
        <v>40.230778603524811</v>
      </c>
      <c r="N39" s="308">
        <f>1000*C105*TableC3!C37/TableC3!$C$91</f>
        <v>-11.094488922219183</v>
      </c>
      <c r="O39" s="308">
        <f>1000*C105*TableC3!D37/TableC3!$C$91</f>
        <v>-11.92153505991025</v>
      </c>
      <c r="P39" s="281">
        <f>1000*C105*TableC3!E37/TableC3!$C$91</f>
        <v>-11.900048985383366</v>
      </c>
      <c r="Q39" s="281">
        <f>1000*C105*TableC3!F37/TableC3!$C$91</f>
        <v>-2.1486074526883999E-2</v>
      </c>
      <c r="R39" s="281">
        <f>1000*C105*TableC3!G37/TableC3!$C$91</f>
        <v>0</v>
      </c>
      <c r="S39" s="281">
        <f>1000*C105*TableC3!H37/TableC3!$C$91</f>
        <v>0</v>
      </c>
      <c r="T39" s="281">
        <f>1000*C105*TableC3!I37/TableC3!$C$91</f>
        <v>0</v>
      </c>
      <c r="U39" s="281">
        <f>1000*C105*TableC3!J37/TableC3!$C$91</f>
        <v>0</v>
      </c>
      <c r="V39" s="308">
        <f>1000*C105*TableC3!K37/TableC3!$C$91</f>
        <v>0.82704613769106561</v>
      </c>
      <c r="W39" s="290">
        <f>1000*C105*TableC3!L37/TableC3!$C$91</f>
        <v>0</v>
      </c>
      <c r="X39" s="289">
        <f>1000*C105*TableC3!M37/TableC3!$C$91</f>
        <v>0.82704613769106561</v>
      </c>
    </row>
    <row r="40" spans="1:24" ht="14" customHeight="1" x14ac:dyDescent="0.35">
      <c r="B40" s="297" t="s">
        <v>61</v>
      </c>
      <c r="C40" s="308">
        <f>1000*C105*(TableC2!D38+TableC2!O38)/(TableC2!$D$100+TableC2!$O$100)</f>
        <v>21086.367061165598</v>
      </c>
      <c r="D40" s="308">
        <f>1000*C105*(TableC2!E38+TableC2!P38)/(TableC2!$D$100+TableC2!$O$100)</f>
        <v>17717.238179098884</v>
      </c>
      <c r="E40" s="281">
        <f>1000*C105*(TableC2!F38+TableC2!Q38)/(TableC2!$D$100+TableC2!$O$100)</f>
        <v>1303.963102336349</v>
      </c>
      <c r="F40" s="281">
        <f>1000*C105*(TableC2!G38+TableC2!R38)/(TableC2!$D$100+TableC2!$O$100)</f>
        <v>18.283284835057035</v>
      </c>
      <c r="G40" s="281">
        <f>1000*C105*(TableC2!H38+TableC2!S38)/(TableC2!$D$100+TableC2!$O$100)</f>
        <v>3833.57789258408</v>
      </c>
      <c r="H40" s="281">
        <f>1000*C105*(TableC2!I38+TableC2!T38)/(TableC2!$D$100+TableC2!$O$100)</f>
        <v>5902.0335844006659</v>
      </c>
      <c r="I40" s="281">
        <f>1000*C105*(TableC2!J38+TableC2!U38)/(TableC2!$D$100+TableC2!$O$100)</f>
        <v>278.63322083297879</v>
      </c>
      <c r="J40" s="281">
        <f>1000*C105*(TableC2!K38+TableC2!V38)/(TableC2!$D$100+TableC2!$O$100)</f>
        <v>6380.7470941097572</v>
      </c>
      <c r="K40" s="308">
        <f>1000*C105*(TableC2!L38+TableC2!W38)/(TableC2!$D$100+TableC2!$O$100)</f>
        <v>3369.1288820667128</v>
      </c>
      <c r="L40" s="290">
        <f>1000*C105*(TableC2!M38+TableC2!X38)/(TableC2!$D$100+TableC2!$O$100)</f>
        <v>1487.4984261378925</v>
      </c>
      <c r="M40" s="295">
        <f>1000*C105*(TableC2!N38+TableC2!Y38)/(TableC2!$D$100+TableC2!$O$100)</f>
        <v>1881.6304559288201</v>
      </c>
      <c r="N40" s="308">
        <f>1000*C105*TableC3!C38/TableC3!$C$91</f>
        <v>4873.7144288358068</v>
      </c>
      <c r="O40" s="308">
        <f>1000*C105*TableC3!D38/TableC3!$C$91</f>
        <v>1733.951681766835</v>
      </c>
      <c r="P40" s="281">
        <f>1000*C105*TableC3!E38/TableC3!$C$91</f>
        <v>-1467.7093842590673</v>
      </c>
      <c r="Q40" s="281">
        <f>1000*C105*TableC3!F38/TableC3!$C$91</f>
        <v>7.5860723275075568</v>
      </c>
      <c r="R40" s="281">
        <f>1000*C105*TableC3!G38/TableC3!$C$91</f>
        <v>1104.4830254968701</v>
      </c>
      <c r="S40" s="281">
        <f>1000*C105*TableC3!H38/TableC3!$C$91</f>
        <v>-350.51747137356313</v>
      </c>
      <c r="T40" s="281">
        <f>1000*C105*TableC3!I38/TableC3!$C$91</f>
        <v>4.4349726053963598</v>
      </c>
      <c r="U40" s="281">
        <f>1000*C105*TableC3!J38/TableC3!$C$91</f>
        <v>2435.6744669696918</v>
      </c>
      <c r="V40" s="308">
        <f>1000*C105*TableC3!K38/TableC3!$C$91</f>
        <v>3139.7627470689717</v>
      </c>
      <c r="W40" s="290">
        <f>1000*C105*TableC3!L38/TableC3!$C$91</f>
        <v>2664.9026847977125</v>
      </c>
      <c r="X40" s="289">
        <f>1000*C105*TableC3!M38/TableC3!$C$91</f>
        <v>474.86006227125944</v>
      </c>
    </row>
    <row r="41" spans="1:24" s="318" customFormat="1" ht="14" customHeight="1" x14ac:dyDescent="0.35">
      <c r="B41" s="317" t="s">
        <v>62</v>
      </c>
      <c r="C41" s="308">
        <f>1000*C105*(TableC2!D39+TableC2!O39)/(TableC2!$D$100+TableC2!$O$100)</f>
        <v>12569.265609721342</v>
      </c>
      <c r="D41" s="308">
        <f>1000*C105*(TableC2!E39+TableC2!P39)/(TableC2!$D$100+TableC2!$O$100)</f>
        <v>10620.173867283598</v>
      </c>
      <c r="E41" s="281">
        <f>1000*C105*(TableC2!F39+TableC2!Q39)/(TableC2!$D$100+TableC2!$O$100)</f>
        <v>1133.166030812218</v>
      </c>
      <c r="F41" s="281">
        <f>1000*C105*(TableC2!G39+TableC2!R39)/(TableC2!$D$100+TableC2!$O$100)</f>
        <v>97.26696169717691</v>
      </c>
      <c r="G41" s="281">
        <f>1000*C105*(TableC2!H39+TableC2!S39)/(TableC2!$D$100+TableC2!$O$100)</f>
        <v>3832.9360373545969</v>
      </c>
      <c r="H41" s="281">
        <f>1000*C105*(TableC2!I39+TableC2!T39)/(TableC2!$D$100+TableC2!$O$100)</f>
        <v>2888.0636243329786</v>
      </c>
      <c r="I41" s="281">
        <f>1000*C105*(TableC2!J39+TableC2!U39)/(TableC2!$D$100+TableC2!$O$100)</f>
        <v>261.87899796398301</v>
      </c>
      <c r="J41" s="281">
        <f>1000*C105*(TableC2!K39+TableC2!V39)/(TableC2!$D$100+TableC2!$O$100)</f>
        <v>2406.8622151226414</v>
      </c>
      <c r="K41" s="308">
        <f>1000*C105*(TableC2!L39+TableC2!W39)/(TableC2!$D$100+TableC2!$O$100)</f>
        <v>1949.0917424377476</v>
      </c>
      <c r="L41" s="290">
        <f>1000*C105*(TableC2!M39+TableC2!X39)/(TableC2!$D$100+TableC2!$O$100)</f>
        <v>479.44589527372455</v>
      </c>
      <c r="M41" s="295">
        <f>1000*C105*(TableC2!N39+TableC2!Y39)/(TableC2!$D$100+TableC2!$O$100)</f>
        <v>1469.6458471640231</v>
      </c>
      <c r="N41" s="308">
        <f>1000*C105*TableC3!C39/TableC3!$C$91</f>
        <v>14908.723799172367</v>
      </c>
      <c r="O41" s="308">
        <f>1000*C105*TableC3!D39/TableC3!$C$91</f>
        <v>10591.840719814605</v>
      </c>
      <c r="P41" s="281">
        <f>1000*C105*TableC3!E39/TableC3!$C$91</f>
        <v>5620.4027827985728</v>
      </c>
      <c r="Q41" s="281">
        <f>1000*C105*TableC3!F39/TableC3!$C$91</f>
        <v>2.2316100352190209</v>
      </c>
      <c r="R41" s="281">
        <f>1000*C105*TableC3!G39/TableC3!$C$91</f>
        <v>257.27422396785391</v>
      </c>
      <c r="S41" s="281">
        <f>1000*C105*TableC3!H39/TableC3!$C$91</f>
        <v>100.16399717255086</v>
      </c>
      <c r="T41" s="281">
        <f>1000*C105*TableC3!I39/TableC3!$C$91</f>
        <v>0</v>
      </c>
      <c r="U41" s="281">
        <f>1000*C105*TableC3!J39/TableC3!$C$91</f>
        <v>4611.7681058404078</v>
      </c>
      <c r="V41" s="308">
        <f>1000*C105*TableC3!K39/TableC3!$C$91</f>
        <v>4316.8830793577608</v>
      </c>
      <c r="W41" s="290">
        <f>1000*C105*TableC3!L39/TableC3!$C$91</f>
        <v>4181.5207723341537</v>
      </c>
      <c r="X41" s="289">
        <f>1000*C105*TableC3!M39/TableC3!$C$91</f>
        <v>135.36230702360723</v>
      </c>
    </row>
    <row r="42" spans="1:24" ht="14" customHeight="1" x14ac:dyDescent="0.35">
      <c r="B42" s="297" t="s">
        <v>63</v>
      </c>
      <c r="C42" s="308"/>
      <c r="D42" s="308"/>
      <c r="E42" s="281"/>
      <c r="F42" s="281"/>
      <c r="G42" s="281"/>
      <c r="H42" s="281"/>
      <c r="I42" s="281"/>
      <c r="J42" s="281"/>
      <c r="K42" s="308"/>
      <c r="L42" s="290"/>
      <c r="M42" s="295"/>
      <c r="N42" s="308"/>
      <c r="O42" s="308"/>
      <c r="P42" s="281"/>
      <c r="Q42" s="281"/>
      <c r="R42" s="281"/>
      <c r="S42" s="281"/>
      <c r="T42" s="281"/>
      <c r="U42" s="281"/>
      <c r="V42" s="308"/>
      <c r="W42" s="290"/>
      <c r="X42" s="289"/>
    </row>
    <row r="43" spans="1:24" ht="14" customHeight="1" x14ac:dyDescent="0.35">
      <c r="B43" s="297" t="s">
        <v>64</v>
      </c>
      <c r="C43" s="308">
        <f>1000*C105*(TableC2!D41+TableC2!O41)/(TableC2!$D$100+TableC2!$O$100)</f>
        <v>5733.0069035430852</v>
      </c>
      <c r="D43" s="308">
        <f>1000*C105*(TableC2!E41+TableC2!P41)/(TableC2!$D$100+TableC2!$O$100)</f>
        <v>1749.2109395923098</v>
      </c>
      <c r="E43" s="281">
        <f>1000*C105*(TableC2!F41+TableC2!Q41)/(TableC2!$D$100+TableC2!$O$100)</f>
        <v>254.93766035646627</v>
      </c>
      <c r="F43" s="281">
        <f>1000*C105*(TableC2!G41+TableC2!R41)/(TableC2!$D$100+TableC2!$O$100)</f>
        <v>2.0547116970655748</v>
      </c>
      <c r="G43" s="281">
        <f>1000*C105*(TableC2!H41+TableC2!S41)/(TableC2!$D$100+TableC2!$O$100)</f>
        <v>653.56088822071024</v>
      </c>
      <c r="H43" s="281">
        <f>1000*C105*(TableC2!I41+TableC2!T41)/(TableC2!$D$100+TableC2!$O$100)</f>
        <v>227.25040701693928</v>
      </c>
      <c r="I43" s="281">
        <f>1000*C105*(TableC2!J41+TableC2!U41)/(TableC2!$D$100+TableC2!$O$100)</f>
        <v>38.085088280782031</v>
      </c>
      <c r="J43" s="281">
        <f>1000*C105*(TableC2!K41+TableC2!V41)/(TableC2!$D$100+TableC2!$O$100)</f>
        <v>573.3221840203463</v>
      </c>
      <c r="K43" s="308">
        <f>1000*C105*(TableC2!L41+TableC2!W41)/(TableC2!$D$100+TableC2!$O$100)</f>
        <v>3983.7959639507753</v>
      </c>
      <c r="L43" s="290">
        <f>1000*C105*(TableC2!M41+TableC2!X41)/(TableC2!$D$100+TableC2!$O$100)</f>
        <v>398.6674812343162</v>
      </c>
      <c r="M43" s="295">
        <f>1000*C105*(TableC2!N41+TableC2!Y41)/(TableC2!$D$100+TableC2!$O$100)</f>
        <v>3585.1284827164595</v>
      </c>
      <c r="N43" s="308">
        <f>1000*C105*TableC3!C41/TableC3!$C$91</f>
        <v>735.92651141625151</v>
      </c>
      <c r="O43" s="308">
        <f>1000*C105*TableC3!D41/TableC3!$C$91</f>
        <v>705.2108329170253</v>
      </c>
      <c r="P43" s="281">
        <f>1000*C105*TableC3!E41/TableC3!$C$91</f>
        <v>29.325745014640841</v>
      </c>
      <c r="Q43" s="281">
        <f>1000*C105*TableC3!F41/TableC3!$C$91</f>
        <v>-9.5291416903000772E-3</v>
      </c>
      <c r="R43" s="281">
        <f>1000*C105*TableC3!G41/TableC3!$C$91</f>
        <v>0</v>
      </c>
      <c r="S43" s="281">
        <f>1000*C105*TableC3!H41/TableC3!$C$91</f>
        <v>0</v>
      </c>
      <c r="T43" s="281">
        <f>1000*C105*TableC3!I41/TableC3!$C$91</f>
        <v>5.6001830154491063</v>
      </c>
      <c r="U43" s="281">
        <f>1000*C105*TableC3!J41/TableC3!$C$91</f>
        <v>670.29443402862557</v>
      </c>
      <c r="V43" s="308">
        <f>1000*C105*TableC3!K41/TableC3!$C$91</f>
        <v>30.715678499226222</v>
      </c>
      <c r="W43" s="290">
        <f>1000*C105*TableC3!L41/TableC3!$C$91</f>
        <v>0</v>
      </c>
      <c r="X43" s="289">
        <f>1000*C105*TableC3!M41/TableC3!$C$91</f>
        <v>30.715678499226222</v>
      </c>
    </row>
    <row r="44" spans="1:24" ht="14" customHeight="1" x14ac:dyDescent="0.35">
      <c r="B44" s="297" t="s">
        <v>65</v>
      </c>
      <c r="C44" s="308">
        <f>1000*C105*(TableC2!D42+TableC2!O42)/(TableC2!$D$100+TableC2!$O$100)</f>
        <v>109612.43210146822</v>
      </c>
      <c r="D44" s="308">
        <f>1000*C105*(TableC2!E42+TableC2!P42)/(TableC2!$D$100+TableC2!$O$100)</f>
        <v>83210.193585832196</v>
      </c>
      <c r="E44" s="281">
        <f>1000*C105*(TableC2!F42+TableC2!Q42)/(TableC2!$D$100+TableC2!$O$100)</f>
        <v>8693.8687702505413</v>
      </c>
      <c r="F44" s="281">
        <f>1000*C105*(TableC2!G42+TableC2!R42)/(TableC2!$D$100+TableC2!$O$100)</f>
        <v>253.78233292552693</v>
      </c>
      <c r="G44" s="281">
        <f>1000*C105*(TableC2!H42+TableC2!S42)/(TableC2!$D$100+TableC2!$O$100)</f>
        <v>27639.588966020267</v>
      </c>
      <c r="H44" s="281">
        <f>1000*C105*(TableC2!I42+TableC2!T42)/(TableC2!$D$100+TableC2!$O$100)</f>
        <v>21903.512015243679</v>
      </c>
      <c r="I44" s="281">
        <f>1000*C105*(TableC2!J42+TableC2!U42)/(TableC2!$D$100+TableC2!$O$100)</f>
        <v>1213.130411415561</v>
      </c>
      <c r="J44" s="281">
        <f>1000*C105*(TableC2!K42+TableC2!V42)/(TableC2!$D$100+TableC2!$O$100)</f>
        <v>23506.31108997664</v>
      </c>
      <c r="K44" s="308">
        <f>1000*C105*(TableC2!L42+TableC2!W42)/(TableC2!$D$100+TableC2!$O$100)</f>
        <v>26402.238515636014</v>
      </c>
      <c r="L44" s="290">
        <f>1000*C105*(TableC2!M42+TableC2!X42)/(TableC2!$D$100+TableC2!$O$100)</f>
        <v>6647.0066078090531</v>
      </c>
      <c r="M44" s="295">
        <f>1000*C105*(TableC2!N42+TableC2!Y42)/(TableC2!$D$100+TableC2!$O$100)</f>
        <v>19755.231907826961</v>
      </c>
      <c r="N44" s="308">
        <f>1000*C105*TableC3!C42/TableC3!$C$91</f>
        <v>85640.091198587965</v>
      </c>
      <c r="O44" s="308">
        <f>1000*C105*TableC3!D42/TableC3!$C$91</f>
        <v>60995.155472595623</v>
      </c>
      <c r="P44" s="281">
        <f>1000*C105*TableC3!E42/TableC3!$C$91</f>
        <v>-3453.6636640666757</v>
      </c>
      <c r="Q44" s="281">
        <f>1000*C105*TableC3!F42/TableC3!$C$91</f>
        <v>462.86453961765636</v>
      </c>
      <c r="R44" s="281">
        <f>1000*C105*TableC3!G42/TableC3!$C$91</f>
        <v>4712.5771655701592</v>
      </c>
      <c r="S44" s="281">
        <f>1000*C105*TableC3!H42/TableC3!$C$91</f>
        <v>14181.885506845321</v>
      </c>
      <c r="T44" s="281">
        <f>1000*C105*TableC3!I42/TableC3!$C$91</f>
        <v>60.163664318422249</v>
      </c>
      <c r="U44" s="281">
        <f>1000*C105*TableC3!J42/TableC3!$C$91</f>
        <v>45031.328260310744</v>
      </c>
      <c r="V44" s="308">
        <f>1000*C105*TableC3!K42/TableC3!$C$91</f>
        <v>24644.935725992342</v>
      </c>
      <c r="W44" s="290">
        <f>1000*C105*TableC3!L42/TableC3!$C$91</f>
        <v>12980.261751793358</v>
      </c>
      <c r="X44" s="289">
        <f>1000*C105*TableC3!M42/TableC3!$C$91</f>
        <v>11664.673974198986</v>
      </c>
    </row>
    <row r="45" spans="1:24" ht="14" customHeight="1" x14ac:dyDescent="0.35">
      <c r="B45" s="297" t="s">
        <v>66</v>
      </c>
      <c r="C45" s="308">
        <f>1000*C105*(TableC2!D43+TableC2!O43)/(TableC2!$D$100+TableC2!$O$100)</f>
        <v>165286.86205757735</v>
      </c>
      <c r="D45" s="308">
        <f>1000*C105*(TableC2!E43+TableC2!P43)/(TableC2!$D$100+TableC2!$O$100)</f>
        <v>46643.508814301211</v>
      </c>
      <c r="E45" s="281">
        <f>1000*C105*(TableC2!F43+TableC2!Q43)/(TableC2!$D$100+TableC2!$O$100)</f>
        <v>4543.0142616404319</v>
      </c>
      <c r="F45" s="281">
        <f>1000*C105*(TableC2!G43+TableC2!R43)/(TableC2!$D$100+TableC2!$O$100)</f>
        <v>356.27255098703898</v>
      </c>
      <c r="G45" s="281">
        <f>1000*C105*(TableC2!H43+TableC2!S43)/(TableC2!$D$100+TableC2!$O$100)</f>
        <v>19677.593251573213</v>
      </c>
      <c r="H45" s="281">
        <f>1000*C105*(TableC2!I43+TableC2!T43)/(TableC2!$D$100+TableC2!$O$100)</f>
        <v>5771.5812227514343</v>
      </c>
      <c r="I45" s="281">
        <f>1000*C105*(TableC2!J43+TableC2!U43)/(TableC2!$D$100+TableC2!$O$100)</f>
        <v>37.385611499969805</v>
      </c>
      <c r="J45" s="281">
        <f>1000*C105*(TableC2!K43+TableC2!V43)/(TableC2!$D$100+TableC2!$O$100)</f>
        <v>16257.661915849127</v>
      </c>
      <c r="K45" s="308">
        <f>1000*C105*(TableC2!L43+TableC2!W43)/(TableC2!$D$100+TableC2!$O$100)</f>
        <v>118643.35324327616</v>
      </c>
      <c r="L45" s="290">
        <f>1000*C105*(TableC2!M43+TableC2!X43)/(TableC2!$D$100+TableC2!$O$100)</f>
        <v>12029.096350928899</v>
      </c>
      <c r="M45" s="295">
        <f>1000*C105*(TableC2!N43+TableC2!Y43)/(TableC2!$D$100+TableC2!$O$100)</f>
        <v>106614.25689234726</v>
      </c>
      <c r="N45" s="308">
        <f>1000*C105*TableC3!C43/TableC3!$C$91</f>
        <v>480181.62390763406</v>
      </c>
      <c r="O45" s="308">
        <f>1000*C105*TableC3!D43/TableC3!$C$91</f>
        <v>269848.04948884906</v>
      </c>
      <c r="P45" s="281">
        <f>1000*C105*TableC3!E43/TableC3!$C$91</f>
        <v>-17178.889843333563</v>
      </c>
      <c r="Q45" s="281">
        <f>1000*C105*TableC3!F43/TableC3!$C$91</f>
        <v>0</v>
      </c>
      <c r="R45" s="281">
        <f>1000*C105*TableC3!G43/TableC3!$C$91</f>
        <v>113709.73143827778</v>
      </c>
      <c r="S45" s="281">
        <f>1000*C105*TableC3!H43/TableC3!$C$91</f>
        <v>50984.009053894602</v>
      </c>
      <c r="T45" s="281">
        <f>1000*C105*TableC3!I43/TableC3!$C$91</f>
        <v>4.3935187236065421</v>
      </c>
      <c r="U45" s="281">
        <f>1000*C105*TableC3!J43/TableC3!$C$91</f>
        <v>122328.80532128667</v>
      </c>
      <c r="V45" s="308">
        <f>1000*C105*TableC3!K43/TableC3!$C$91</f>
        <v>210333.57441878496</v>
      </c>
      <c r="W45" s="290">
        <f>1000*C105*TableC3!L43/TableC3!$C$91</f>
        <v>127496.80625567614</v>
      </c>
      <c r="X45" s="289">
        <f>1000*C105*TableC3!M43/TableC3!$C$91</f>
        <v>82836.768163108834</v>
      </c>
    </row>
    <row r="46" spans="1:24" ht="40" customHeight="1" x14ac:dyDescent="0.35">
      <c r="B46" s="307" t="s">
        <v>67</v>
      </c>
      <c r="C46" s="304">
        <f>1000*C105*(TableC2!D44+TableC2!O44)/(TableC2!$D$100+TableC2!$O$100)</f>
        <v>171026.69928985622</v>
      </c>
      <c r="D46" s="304">
        <f>1000*C105*(TableC2!E44+TableC2!P44)/(TableC2!$D$100+TableC2!$O$100)</f>
        <v>27896.247742702566</v>
      </c>
      <c r="E46" s="269">
        <f>1000*C105*(TableC2!F44+TableC2!Q44)/(TableC2!$D$100+TableC2!$O$100)</f>
        <v>1643.9446593851985</v>
      </c>
      <c r="F46" s="269">
        <f>1000*C105*(TableC2!G44+TableC2!R44)/(TableC2!$D$100+TableC2!$O$100)</f>
        <v>836.08200062692833</v>
      </c>
      <c r="G46" s="269">
        <f>1000*C105*(TableC2!H44+TableC2!S44)/(TableC2!$D$100+TableC2!$O$100)</f>
        <v>12980.689892285407</v>
      </c>
      <c r="H46" s="269">
        <f>1000*C105*(TableC2!I44+TableC2!T44)/(TableC2!$D$100+TableC2!$O$100)</f>
        <v>2153.2548088752137</v>
      </c>
      <c r="I46" s="269">
        <f>1000*C105*(TableC2!J44+TableC2!U44)/(TableC2!$D$100+TableC2!$O$100)</f>
        <v>2275.4455412356001</v>
      </c>
      <c r="J46" s="269">
        <f>1000*C105*(TableC2!K44+TableC2!V44)/(TableC2!$D$100+TableC2!$O$100)</f>
        <v>8006.8308402942221</v>
      </c>
      <c r="K46" s="304">
        <f>1000*C105*(TableC2!L44+TableC2!W44)/(TableC2!$D$100+TableC2!$O$100)</f>
        <v>143130.45154715367</v>
      </c>
      <c r="L46" s="269">
        <f>1000*C105*(TableC2!M44+TableC2!X44)/(TableC2!$D$100+TableC2!$O$100)</f>
        <v>6055.9882245378531</v>
      </c>
      <c r="M46" s="274">
        <f>1000*C105*(TableC2!N44+TableC2!Y44)/(TableC2!$D$100+TableC2!$O$100)</f>
        <v>137074.4633226158</v>
      </c>
      <c r="N46" s="304">
        <f>1000*C105*TableC3!C44/TableC3!$C$91</f>
        <v>99463.171163518564</v>
      </c>
      <c r="O46" s="304">
        <f>1000*C105*TableC3!D44/TableC3!$C$91</f>
        <v>10612.204195567658</v>
      </c>
      <c r="P46" s="281">
        <f>1000*C105*TableC3!E44/TableC3!$C$91</f>
        <v>5914.485140883583</v>
      </c>
      <c r="Q46" s="281">
        <f>1000*C105*TableC3!F44/TableC3!$C$91</f>
        <v>1939.4372884817153</v>
      </c>
      <c r="R46" s="281">
        <f>1000*C105*TableC3!G44/TableC3!$C$91</f>
        <v>-106.02137607098265</v>
      </c>
      <c r="S46" s="281">
        <f>1000*C105*TableC3!H44/TableC3!$C$91</f>
        <v>-289.96198452316071</v>
      </c>
      <c r="T46" s="281">
        <f>1000*C105*TableC3!I44/TableC3!$C$91</f>
        <v>0</v>
      </c>
      <c r="U46" s="281">
        <f>1000*C105*TableC3!J44/TableC3!$C$91</f>
        <v>3154.2651267965016</v>
      </c>
      <c r="V46" s="304">
        <f>1000*C105*TableC3!K44/TableC3!$C$91</f>
        <v>88850.966967950953</v>
      </c>
      <c r="W46" s="269">
        <f>1000*C105*TableC3!L44/TableC3!$C$91</f>
        <v>0</v>
      </c>
      <c r="X46" s="267">
        <f>1000*C105*TableC3!M44/TableC3!$C$91</f>
        <v>88850.966967950953</v>
      </c>
    </row>
    <row r="47" spans="1:24" x14ac:dyDescent="0.35">
      <c r="B47" s="311" t="s">
        <v>68</v>
      </c>
      <c r="C47" s="308">
        <f>1000*C105*(TableC2!D45+TableC2!O45)/(TableC2!$D$100+TableC2!$O$100)</f>
        <v>26816.895550320551</v>
      </c>
      <c r="D47" s="308">
        <f>1000*C105*(TableC2!E45+TableC2!P45)/(TableC2!$D$100+TableC2!$O$100)</f>
        <v>6817.7815448732099</v>
      </c>
      <c r="E47" s="281">
        <f>1000*C105*(TableC2!F45+TableC2!Q45)/(TableC2!$D$100+TableC2!$O$100)</f>
        <v>595.06467741185429</v>
      </c>
      <c r="F47" s="281">
        <f>1000*C105*(TableC2!G45+TableC2!R45)/(TableC2!$D$100+TableC2!$O$100)</f>
        <v>0.64885632538912885</v>
      </c>
      <c r="G47" s="281">
        <f>1000*C105*(TableC2!H45+TableC2!S45)/(TableC2!$D$100+TableC2!$O$100)</f>
        <v>1470.6385594741776</v>
      </c>
      <c r="H47" s="281">
        <f>1000*C105*(TableC2!I45+TableC2!T45)/(TableC2!$D$100+TableC2!$O$100)</f>
        <v>641.96050987053775</v>
      </c>
      <c r="I47" s="281">
        <f>1000*C105*(TableC2!J45+TableC2!U45)/(TableC2!$D$100+TableC2!$O$100)</f>
        <v>1092.5898362926862</v>
      </c>
      <c r="J47" s="281">
        <f>1000*C105*(TableC2!K45+TableC2!V45)/(TableC2!$D$100+TableC2!$O$100)</f>
        <v>3016.8791054985654</v>
      </c>
      <c r="K47" s="308">
        <f>1000*C105*(TableC2!L45+TableC2!W45)/(TableC2!$D$100+TableC2!$O$100)</f>
        <v>19999.11400544734</v>
      </c>
      <c r="L47" s="290">
        <f>1000*C105*(TableC2!M45+TableC2!X45)/(TableC2!$D$100+TableC2!$O$100)</f>
        <v>474.98116954482413</v>
      </c>
      <c r="M47" s="295">
        <f>1000*C105*(TableC2!N45+TableC2!Y45)/(TableC2!$D$100+TableC2!$O$100)</f>
        <v>19524.132835902521</v>
      </c>
      <c r="N47" s="308">
        <f>1000*C105*TableC3!C45/TableC3!$C$91</f>
        <v>10653.006397834954</v>
      </c>
      <c r="O47" s="308">
        <f>1000*C105*TableC3!D45/TableC3!$C$91</f>
        <v>10186.226977529304</v>
      </c>
      <c r="P47" s="281">
        <f>1000*C105*TableC3!E45/TableC3!$C$91</f>
        <v>8474.9947017780796</v>
      </c>
      <c r="Q47" s="281">
        <f>1000*C105*TableC3!F45/TableC3!$C$91</f>
        <v>9.2203450391279539E-3</v>
      </c>
      <c r="R47" s="281">
        <f>1000*C105*TableC3!G45/TableC3!$C$91</f>
        <v>-79.766612751787363</v>
      </c>
      <c r="S47" s="281">
        <f>1000*C105*TableC3!H45/TableC3!$C$91</f>
        <v>766.65524738268471</v>
      </c>
      <c r="T47" s="281">
        <f>1000*C105*TableC3!I45/TableC3!$C$91</f>
        <v>0</v>
      </c>
      <c r="U47" s="281">
        <f>1000*C105*TableC3!J45/TableC3!$C$91</f>
        <v>1024.3344207752884</v>
      </c>
      <c r="V47" s="308">
        <f>1000*C105*TableC3!K45/TableC3!$C$91</f>
        <v>466.77942030564981</v>
      </c>
      <c r="W47" s="290">
        <f>1000*C105*TableC3!L45/TableC3!$C$91</f>
        <v>0</v>
      </c>
      <c r="X47" s="289">
        <f>1000*C105*TableC3!M45/TableC3!$C$91</f>
        <v>466.77942030564981</v>
      </c>
    </row>
    <row r="48" spans="1:24" x14ac:dyDescent="0.35">
      <c r="A48" s="343" t="s">
        <v>69</v>
      </c>
      <c r="B48" s="297" t="s">
        <v>70</v>
      </c>
      <c r="C48" s="308">
        <f>1000*C105*(TableC2!D46+TableC2!O46)/(TableC2!$D$100+TableC2!$O$100)</f>
        <v>92693.313901633621</v>
      </c>
      <c r="D48" s="308">
        <f>1000*C105*(TableC2!E46+TableC2!P46)/(TableC2!$D$100+TableC2!$O$100)</f>
        <v>7529.3876500311208</v>
      </c>
      <c r="E48" s="281">
        <f>1000*C105*(TableC2!F46+TableC2!Q46)/(TableC2!$D$100+TableC2!$O$100)</f>
        <v>340.31586480695574</v>
      </c>
      <c r="F48" s="281">
        <f>1000*C105*(TableC2!G46+TableC2!R46)/(TableC2!$D$100+TableC2!$O$100)</f>
        <v>16.221408134728225</v>
      </c>
      <c r="G48" s="281">
        <f>1000*C105*(TableC2!H46+TableC2!S46)/(TableC2!$D$100+TableC2!$O$100)</f>
        <v>4832.0981239865841</v>
      </c>
      <c r="H48" s="281">
        <f>1000*C105*(TableC2!I46+TableC2!T46)/(TableC2!$D$100+TableC2!$O$100)</f>
        <v>522.68805867022604</v>
      </c>
      <c r="I48" s="281">
        <f>1000*C105*(TableC2!J46+TableC2!U46)/(TableC2!$D$100+TableC2!$O$100)</f>
        <v>67.48191870478405</v>
      </c>
      <c r="J48" s="281">
        <f>1000*C105*(TableC2!K46+TableC2!V46)/(TableC2!$D$100+TableC2!$O$100)</f>
        <v>1750.5822757278431</v>
      </c>
      <c r="K48" s="308">
        <f>1000*C105*(TableC2!L46+TableC2!W46)/(TableC2!$D$100+TableC2!$O$100)</f>
        <v>85163.92625160249</v>
      </c>
      <c r="L48" s="290">
        <f>1000*C105*(TableC2!M46+TableC2!X46)/(TableC2!$D$100+TableC2!$O$100)</f>
        <v>2518.6183226905614</v>
      </c>
      <c r="M48" s="295">
        <f>1000*C105*(TableC2!N46+TableC2!Y46)/(TableC2!$D$100+TableC2!$O$100)</f>
        <v>82645.307928911949</v>
      </c>
      <c r="N48" s="308">
        <f>1000*C105*TableC3!C46/TableC3!$C$91</f>
        <v>71563.815098021485</v>
      </c>
      <c r="O48" s="308">
        <f>1000*C105*TableC3!D46/TableC3!$C$91</f>
        <v>10.109381901362431</v>
      </c>
      <c r="P48" s="281">
        <f>1000*C105*TableC3!E46/TableC3!$C$91</f>
        <v>-1547.7682779949889</v>
      </c>
      <c r="Q48" s="281">
        <f>1000*C105*TableC3!F46/TableC3!$C$91</f>
        <v>20.708028372676964</v>
      </c>
      <c r="R48" s="281">
        <f>1000*C105*TableC3!G46/TableC3!$C$91</f>
        <v>-22.853449694452902</v>
      </c>
      <c r="S48" s="281">
        <f>1000*C105*TableC3!H46/TableC3!$C$91</f>
        <v>148.69880918415322</v>
      </c>
      <c r="T48" s="281">
        <f>1000*C105*TableC3!I46/TableC3!$C$91</f>
        <v>0</v>
      </c>
      <c r="U48" s="281">
        <f>1000*C105*TableC3!J46/TableC3!$C$91</f>
        <v>1411.324272033974</v>
      </c>
      <c r="V48" s="308">
        <f>1000*C105*TableC3!K46/TableC3!$C$91</f>
        <v>71553.705716120123</v>
      </c>
      <c r="W48" s="290">
        <f>1000*C105*TableC3!L46/TableC3!$C$91</f>
        <v>0</v>
      </c>
      <c r="X48" s="289">
        <f>1000*C105*TableC3!M46/TableC3!$C$91</f>
        <v>71553.705716120123</v>
      </c>
    </row>
    <row r="49" spans="1:24" x14ac:dyDescent="0.35">
      <c r="B49" s="297" t="s">
        <v>71</v>
      </c>
      <c r="C49" s="308">
        <f>1000*C105*(TableC2!D47+TableC2!O47)/(TableC2!$D$100+TableC2!$O$100)</f>
        <v>2248.7628910587182</v>
      </c>
      <c r="D49" s="308">
        <f>1000*C105*(TableC2!E47+TableC2!P47)/(TableC2!$D$100+TableC2!$O$100)</f>
        <v>618.38964604506998</v>
      </c>
      <c r="E49" s="281">
        <f>1000*C105*(TableC2!F47+TableC2!Q47)/(TableC2!$D$100+TableC2!$O$100)</f>
        <v>28.942540487001175</v>
      </c>
      <c r="F49" s="281">
        <f>1000*C105*(TableC2!G47+TableC2!R47)/(TableC2!$D$100+TableC2!$O$100)</f>
        <v>26.074690307115155</v>
      </c>
      <c r="G49" s="281">
        <f>1000*C105*(TableC2!H47+TableC2!S47)/(TableC2!$D$100+TableC2!$O$100)</f>
        <v>364.84159692754787</v>
      </c>
      <c r="H49" s="281">
        <f>1000*C105*(TableC2!I47+TableC2!T47)/(TableC2!$D$100+TableC2!$O$100)</f>
        <v>47.883197544027247</v>
      </c>
      <c r="I49" s="281">
        <f>1000*C105*(TableC2!J47+TableC2!U47)/(TableC2!$D$100+TableC2!$O$100)</f>
        <v>61.191619639963022</v>
      </c>
      <c r="J49" s="281">
        <f>1000*C105*(TableC2!K47+TableC2!V47)/(TableC2!$D$100+TableC2!$O$100)</f>
        <v>89.456001139415619</v>
      </c>
      <c r="K49" s="308">
        <f>1000*C105*(TableC2!L47+TableC2!W47)/(TableC2!$D$100+TableC2!$O$100)</f>
        <v>1630.3732450136483</v>
      </c>
      <c r="L49" s="290">
        <f>1000*C105*(TableC2!M47+TableC2!X47)/(TableC2!$D$100+TableC2!$O$100)</f>
        <v>324.79448203320777</v>
      </c>
      <c r="M49" s="295">
        <f>1000*C105*(TableC2!N47+TableC2!Y47)/(TableC2!$D$100+TableC2!$O$100)</f>
        <v>1305.5787629804404</v>
      </c>
      <c r="N49" s="308">
        <f>1000*C105*TableC3!C47/TableC3!$C$91</f>
        <v>1570.6036958022423</v>
      </c>
      <c r="O49" s="308">
        <f>1000*C105*TableC3!D47/TableC3!$C$91</f>
        <v>-4.6345376465045902</v>
      </c>
      <c r="P49" s="281">
        <f>1000*C105*TableC3!E47/TableC3!$C$91</f>
        <v>-4.6492462191746728</v>
      </c>
      <c r="Q49" s="281">
        <f>1000*C105*TableC3!F47/TableC3!$C$91</f>
        <v>1.4708572670082611E-2</v>
      </c>
      <c r="R49" s="281">
        <f>1000*C105*TableC3!G47/TableC3!$C$91</f>
        <v>0</v>
      </c>
      <c r="S49" s="281">
        <f>1000*C105*TableC3!H47/TableC3!$C$91</f>
        <v>0</v>
      </c>
      <c r="T49" s="281">
        <f>1000*C105*TableC3!I47/TableC3!$C$91</f>
        <v>0</v>
      </c>
      <c r="U49" s="281">
        <f>1000*C105*TableC3!J47/TableC3!$C$91</f>
        <v>0</v>
      </c>
      <c r="V49" s="308">
        <f>1000*C105*TableC3!K47/TableC3!$C$91</f>
        <v>1575.238233448747</v>
      </c>
      <c r="W49" s="290">
        <f>1000*C105*TableC3!L47/TableC3!$C$91</f>
        <v>0</v>
      </c>
      <c r="X49" s="289">
        <f>1000*C105*TableC3!M47/TableC3!$C$91</f>
        <v>1575.238233448747</v>
      </c>
    </row>
    <row r="50" spans="1:24" x14ac:dyDescent="0.35">
      <c r="B50" s="297" t="s">
        <v>72</v>
      </c>
      <c r="C50" s="308">
        <f>1000*C105*(TableC2!D48+TableC2!O48)/(TableC2!$D$100+TableC2!$O$100)</f>
        <v>1945.4645303416914</v>
      </c>
      <c r="D50" s="308">
        <f>1000*C105*(TableC2!E48+TableC2!P48)/(TableC2!$D$100+TableC2!$O$100)</f>
        <v>534.98531441206705</v>
      </c>
      <c r="E50" s="290">
        <f>1000*C105*(TableC2!F48+TableC2!Q48)/(TableC2!$D$100+TableC2!$O$100)</f>
        <v>25.038960825669761</v>
      </c>
      <c r="F50" s="290">
        <f>1000*C105*(TableC2!G48+TableC2!R48)/(TableC2!$D$100+TableC2!$O$100)</f>
        <v>22.557907431607596</v>
      </c>
      <c r="G50" s="290">
        <f>1000*C105*(TableC2!H48+TableC2!S48)/(TableC2!$D$100+TableC2!$O$100)</f>
        <v>315.63415993653166</v>
      </c>
      <c r="H50" s="290">
        <f>1000*C105*(TableC2!I48+TableC2!T48)/(TableC2!$D$100+TableC2!$O$100)</f>
        <v>41.425026529760977</v>
      </c>
      <c r="I50" s="290">
        <f>1000*C105*(TableC2!J48+TableC2!U48)/(TableC2!$D$100+TableC2!$O$100)</f>
        <v>52.938496111371322</v>
      </c>
      <c r="J50" s="290">
        <f>1000*C105*(TableC2!K48+TableC2!V48)/(TableC2!$D$100+TableC2!$O$100)</f>
        <v>77.390763577125725</v>
      </c>
      <c r="K50" s="308">
        <f>1000*C105*(TableC2!L48+TableC2!W48)/(TableC2!$D$100+TableC2!$O$100)</f>
        <v>1410.4792159296244</v>
      </c>
      <c r="L50" s="290">
        <f>1000*C105*(TableC2!M48+TableC2!X48)/(TableC2!$D$100+TableC2!$O$100)</f>
        <v>280.9883367244733</v>
      </c>
      <c r="M50" s="295">
        <f>1000*C105*(TableC2!N48+TableC2!Y48)/(TableC2!$D$100+TableC2!$O$100)</f>
        <v>1129.4908792051508</v>
      </c>
      <c r="N50" s="308">
        <f>1000*C105*TableC3!C48/TableC3!$C$91</f>
        <v>187.42262164996265</v>
      </c>
      <c r="O50" s="308">
        <f>1000*C105*TableC3!D48/TableC3!$C$91</f>
        <v>-2.3210551996228732</v>
      </c>
      <c r="P50" s="290">
        <f>1000*C105*TableC3!E48/TableC3!$C$91</f>
        <v>-2.3246231095873129</v>
      </c>
      <c r="Q50" s="290">
        <f>1000*C105*TableC3!F48/TableC3!$C$91</f>
        <v>3.567909964439466E-3</v>
      </c>
      <c r="R50" s="290">
        <f>1000*C105*TableC3!G48/TableC3!$C$91</f>
        <v>0</v>
      </c>
      <c r="S50" s="290">
        <f>1000*C105*TableC3!H48/TableC3!$C$91</f>
        <v>0</v>
      </c>
      <c r="T50" s="290">
        <f>1000*C105*TableC3!I48/TableC3!$C$91</f>
        <v>0</v>
      </c>
      <c r="U50" s="290">
        <f>1000*C105*TableC3!J48/TableC3!$C$91</f>
        <v>0</v>
      </c>
      <c r="V50" s="308">
        <f>1000*C105*TableC3!K48/TableC3!$C$91</f>
        <v>189.74367684958551</v>
      </c>
      <c r="W50" s="290">
        <f>1000*C105*TableC3!L48/TableC3!$C$91</f>
        <v>0</v>
      </c>
      <c r="X50" s="289">
        <f>1000*C105*TableC3!M48/TableC3!$C$91</f>
        <v>189.74367684958551</v>
      </c>
    </row>
    <row r="51" spans="1:24" ht="14" customHeight="1" x14ac:dyDescent="0.35">
      <c r="B51" s="297" t="s">
        <v>73</v>
      </c>
      <c r="C51" s="308">
        <f>1000*C105*(TableC2!D49+TableC2!O49)/(TableC2!$D$100+TableC2!$O$100)</f>
        <v>19061.769168729781</v>
      </c>
      <c r="D51" s="308">
        <f>1000*C105*(TableC2!E49+TableC2!P49)/(TableC2!$D$100+TableC2!$O$100)</f>
        <v>4506.7823179982342</v>
      </c>
      <c r="E51" s="281">
        <f>1000*C105*(TableC2!F49+TableC2!Q49)/(TableC2!$D$100+TableC2!$O$100)</f>
        <v>96.539117781401387</v>
      </c>
      <c r="F51" s="281">
        <f>1000*C105*(TableC2!G49+TableC2!R49)/(TableC2!$D$100+TableC2!$O$100)</f>
        <v>11.895699298800698</v>
      </c>
      <c r="G51" s="281">
        <f>1000*C105*(TableC2!H49+TableC2!S49)/(TableC2!$D$100+TableC2!$O$100)</f>
        <v>3409.5527359926291</v>
      </c>
      <c r="H51" s="281">
        <f>1000*C105*(TableC2!I49+TableC2!T49)/(TableC2!$D$100+TableC2!$O$100)</f>
        <v>282.15835473185837</v>
      </c>
      <c r="I51" s="281">
        <f>1000*C105*(TableC2!J49+TableC2!U49)/(TableC2!$D$100+TableC2!$O$100)</f>
        <v>11.381596452789815</v>
      </c>
      <c r="J51" s="281">
        <f>1000*C105*(TableC2!K49+TableC2!V49)/(TableC2!$D$100+TableC2!$O$100)</f>
        <v>695.25481374075491</v>
      </c>
      <c r="K51" s="308">
        <f>1000*C105*(TableC2!L49+TableC2!W49)/(TableC2!$D$100+TableC2!$O$100)</f>
        <v>14554.986850731548</v>
      </c>
      <c r="L51" s="290">
        <f>1000*C105*(TableC2!M49+TableC2!X49)/(TableC2!$D$100+TableC2!$O$100)</f>
        <v>451.85600057373375</v>
      </c>
      <c r="M51" s="295">
        <f>1000*C105*(TableC2!N49+TableC2!Y49)/(TableC2!$D$100+TableC2!$O$100)</f>
        <v>14103.130850157811</v>
      </c>
      <c r="N51" s="308">
        <f>1000*C105*TableC3!C49/TableC3!$C$91</f>
        <v>7353.024334461672</v>
      </c>
      <c r="O51" s="308">
        <f>1000*C105*TableC3!D49/TableC3!$C$91</f>
        <v>45.318269938512586</v>
      </c>
      <c r="P51" s="281">
        <f>1000*C105*TableC3!E49/TableC3!$C$91</f>
        <v>44.090290955607927</v>
      </c>
      <c r="Q51" s="281">
        <f>1000*C105*TableC3!F49/TableC3!$C$91</f>
        <v>1.2279789829046615</v>
      </c>
      <c r="R51" s="281">
        <f>1000*C105*TableC3!G49/TableC3!$C$91</f>
        <v>0</v>
      </c>
      <c r="S51" s="281">
        <f>1000*C105*TableC3!H49/TableC3!$C$91</f>
        <v>0</v>
      </c>
      <c r="T51" s="281">
        <f>1000*C105*TableC3!I49/TableC3!$C$91</f>
        <v>0</v>
      </c>
      <c r="U51" s="281">
        <f>1000*C105*TableC3!J49/TableC3!$C$91</f>
        <v>0</v>
      </c>
      <c r="V51" s="308">
        <f>1000*C105*TableC3!K49/TableC3!$C$91</f>
        <v>7307.7060645231595</v>
      </c>
      <c r="W51" s="290">
        <f>1000*C105*TableC3!L49/TableC3!$C$91</f>
        <v>0</v>
      </c>
      <c r="X51" s="289">
        <f>1000*C105*TableC3!M49/TableC3!$C$91</f>
        <v>7307.7060645231595</v>
      </c>
    </row>
    <row r="52" spans="1:24" ht="14" customHeight="1" x14ac:dyDescent="0.35">
      <c r="A52" s="343" t="s">
        <v>75</v>
      </c>
      <c r="B52" s="297" t="s">
        <v>74</v>
      </c>
      <c r="C52" s="308">
        <f>1000*C105*(TableC2!D50+TableC2!O50)/(TableC2!$D$100+TableC2!$O$100)</f>
        <v>20343.138511261011</v>
      </c>
      <c r="D52" s="308">
        <f>1000*C105*(TableC2!E50+TableC2!P50)/(TableC2!$D$100+TableC2!$O$100)</f>
        <v>5973.6775719165553</v>
      </c>
      <c r="E52" s="281">
        <f>1000*C105*(TableC2!F50+TableC2!Q50)/(TableC2!$D$100+TableC2!$O$100)</f>
        <v>472.11154104694805</v>
      </c>
      <c r="F52" s="281">
        <f>1000*C105*(TableC2!G50+TableC2!R50)/(TableC2!$D$100+TableC2!$O$100)</f>
        <v>751.11344866641434</v>
      </c>
      <c r="G52" s="281">
        <f>1000*C105*(TableC2!H50+TableC2!S50)/(TableC2!$D$100+TableC2!$O$100)</f>
        <v>1623.2769448567333</v>
      </c>
      <c r="H52" s="281">
        <f>1000*C105*(TableC2!I50+TableC2!T50)/(TableC2!$D$100+TableC2!$O$100)</f>
        <v>252.01736617598803</v>
      </c>
      <c r="I52" s="281">
        <f>1000*C105*(TableC2!J50+TableC2!U50)/(TableC2!$D$100+TableC2!$O$100)</f>
        <v>984.06501415876596</v>
      </c>
      <c r="J52" s="281">
        <f>1000*C105*(TableC2!K50+TableC2!V50)/(TableC2!$D$100+TableC2!$O$100)</f>
        <v>1891.0932570117047</v>
      </c>
      <c r="K52" s="308">
        <f>1000*C105*(TableC2!L50+TableC2!W50)/(TableC2!$D$100+TableC2!$O$100)</f>
        <v>14369.460939344457</v>
      </c>
      <c r="L52" s="290">
        <f>1000*C105*(TableC2!M50+TableC2!X50)/(TableC2!$D$100+TableC2!$O$100)</f>
        <v>809.04055500195466</v>
      </c>
      <c r="M52" s="295">
        <f>1000*C105*(TableC2!N50+TableC2!Y50)/(TableC2!$D$100+TableC2!$O$100)</f>
        <v>13560.420384342504</v>
      </c>
      <c r="N52" s="308">
        <f>1000*C105*TableC3!C50/TableC3!$C$91</f>
        <v>1186.9455055622709</v>
      </c>
      <c r="O52" s="308">
        <f>1000*C105*TableC3!D50/TableC3!$C$91</f>
        <v>1128.6954340031486</v>
      </c>
      <c r="P52" s="281">
        <f>1000*C105*TableC3!E50/TableC3!$C$91</f>
        <v>-293.19288235567973</v>
      </c>
      <c r="Q52" s="281">
        <f>1000*C105*TableC3!F50/TableC3!$C$91</f>
        <v>1911.0062916993791</v>
      </c>
      <c r="R52" s="281">
        <f>1000*C105*TableC3!G50/TableC3!$C$91</f>
        <v>-2.4083682377906763</v>
      </c>
      <c r="S52" s="281">
        <f>1000*C105*TableC3!H50/TableC3!$C$91</f>
        <v>-1205.3160410899989</v>
      </c>
      <c r="T52" s="281">
        <f>1000*C105*TableC3!I50/TableC3!$C$91</f>
        <v>0</v>
      </c>
      <c r="U52" s="281">
        <f>1000*C105*TableC3!J50/TableC3!$C$91</f>
        <v>718.60643398723857</v>
      </c>
      <c r="V52" s="308">
        <f>1000*C105*TableC3!K50/TableC3!$C$91</f>
        <v>58.250071559122155</v>
      </c>
      <c r="W52" s="290">
        <f>1000*C105*TableC3!L50/TableC3!$C$91</f>
        <v>0</v>
      </c>
      <c r="X52" s="289">
        <f>1000*C105*TableC3!M50/TableC3!$C$91</f>
        <v>58.250071559122155</v>
      </c>
    </row>
    <row r="53" spans="1:24" ht="14" customHeight="1" x14ac:dyDescent="0.35">
      <c r="B53" s="297" t="s">
        <v>76</v>
      </c>
      <c r="C53" s="308">
        <f>1000*C105*(TableC2!D51+TableC2!O51)/(TableC2!$D$100+TableC2!$O$100)</f>
        <v>7917.354736510867</v>
      </c>
      <c r="D53" s="308">
        <f>1000*C105*(TableC2!E51+TableC2!P51)/(TableC2!$D$100+TableC2!$O$100)</f>
        <v>1915.2436974263117</v>
      </c>
      <c r="E53" s="281">
        <f>1000*C105*(TableC2!F51+TableC2!Q51)/(TableC2!$D$100+TableC2!$O$100)</f>
        <v>85.931957025367922</v>
      </c>
      <c r="F53" s="281">
        <f>1000*C105*(TableC2!G51+TableC2!R51)/(TableC2!$D$100+TableC2!$O$100)</f>
        <v>7.5699904628731707</v>
      </c>
      <c r="G53" s="281">
        <f>1000*C105*(TableC2!H51+TableC2!S51)/(TableC2!$D$100+TableC2!$O$100)</f>
        <v>964.64777111120327</v>
      </c>
      <c r="H53" s="281">
        <f>1000*C105*(TableC2!I51+TableC2!T51)/(TableC2!$D$100+TableC2!$O$100)</f>
        <v>365.12229535281523</v>
      </c>
      <c r="I53" s="281">
        <f>1000*C105*(TableC2!J51+TableC2!U51)/(TableC2!$D$100+TableC2!$O$100)</f>
        <v>5.79705987523967</v>
      </c>
      <c r="J53" s="281">
        <f>1000*C105*(TableC2!K51+TableC2!V51)/(TableC2!$D$100+TableC2!$O$100)</f>
        <v>486.17462359881227</v>
      </c>
      <c r="K53" s="308">
        <f>1000*C105*(TableC2!L51+TableC2!W51)/(TableC2!$D$100+TableC2!$O$100)</f>
        <v>6002.1110390845552</v>
      </c>
      <c r="L53" s="290">
        <f>1000*C105*(TableC2!M51+TableC2!X51)/(TableC2!$D$100+TableC2!$O$100)</f>
        <v>1195.7093579690993</v>
      </c>
      <c r="M53" s="295">
        <f>1000*C105*(TableC2!N51+TableC2!Y51)/(TableC2!$D$100+TableC2!$O$100)</f>
        <v>4806.4016811154561</v>
      </c>
      <c r="N53" s="308">
        <f>1000*C105*TableC3!C51/TableC3!$C$91</f>
        <v>6948.3535101859998</v>
      </c>
      <c r="O53" s="308">
        <f>1000*C105*TableC3!D51/TableC3!$C$91</f>
        <v>-751.19027495854482</v>
      </c>
      <c r="P53" s="281">
        <f>1000*C105*TableC3!E51/TableC3!$C$91</f>
        <v>-756.6648221706738</v>
      </c>
      <c r="Q53" s="281">
        <f>1000*C105*TableC3!F51/TableC3!$C$91</f>
        <v>6.467492599080737</v>
      </c>
      <c r="R53" s="281">
        <f>1000*C105*TableC3!G51/TableC3!$C$91</f>
        <v>-0.99294538695170986</v>
      </c>
      <c r="S53" s="281">
        <f>1000*C105*TableC3!H51/TableC3!$C$91</f>
        <v>0</v>
      </c>
      <c r="T53" s="281">
        <f>1000*C105*TableC3!I51/TableC3!$C$91</f>
        <v>0</v>
      </c>
      <c r="U53" s="281">
        <f>1000*C105*TableC3!J51/TableC3!$C$91</f>
        <v>0</v>
      </c>
      <c r="V53" s="308">
        <f>1000*C105*TableC3!K51/TableC3!$C$91</f>
        <v>7699.5437851445449</v>
      </c>
      <c r="W53" s="290">
        <f>1000*C105*TableC3!L51/TableC3!$C$91</f>
        <v>0</v>
      </c>
      <c r="X53" s="289">
        <f>1000*C105*TableC3!M51/TableC3!$C$91</f>
        <v>7699.5437851445449</v>
      </c>
    </row>
    <row r="54" spans="1:24" ht="40" hidden="1" customHeight="1" x14ac:dyDescent="0.35">
      <c r="B54" s="307" t="s">
        <v>77</v>
      </c>
      <c r="C54" s="308">
        <f>1000*C105*(TableC2!D52+TableC2!O52)/(TableC2!$D$100+TableC2!$O$100)</f>
        <v>0</v>
      </c>
      <c r="D54" s="293">
        <f>1000*C105*(TableC2!E52+TableC2!P52)/(TableC2!$D$100+TableC2!$O$100)</f>
        <v>0</v>
      </c>
      <c r="E54" s="269">
        <f>1000*C105*(TableC2!F52+TableC2!Q52)/(TableC2!$D$100+TableC2!$O$100)</f>
        <v>0</v>
      </c>
      <c r="F54" s="269">
        <f>1000*C105*(TableC2!G52+TableC2!R52)/(TableC2!$D$100+TableC2!$O$100)</f>
        <v>0</v>
      </c>
      <c r="G54" s="269">
        <f>1000*C105*(TableC2!H52+TableC2!S52)/(TableC2!$D$100+TableC2!$O$100)</f>
        <v>0</v>
      </c>
      <c r="H54" s="303">
        <f>1000*C105*(TableC2!I52+TableC2!T52)/(TableC2!$D$100+TableC2!$O$100)</f>
        <v>0</v>
      </c>
      <c r="I54" s="303">
        <f>1000*C105*(TableC2!J52+TableC2!U52)/(TableC2!$D$100+TableC2!$O$100)</f>
        <v>0</v>
      </c>
      <c r="J54" s="303">
        <f>1000*C105*(TableC2!K52+TableC2!V52)/(TableC2!$D$100+TableC2!$O$100)</f>
        <v>0</v>
      </c>
      <c r="K54" s="304">
        <f>1000*C105*(TableC2!L52+TableC2!W52)/(TableC2!$D$100+TableC2!$O$100)</f>
        <v>0</v>
      </c>
      <c r="L54" s="303">
        <f>1000*C105*(TableC2!M52+TableC2!X52)/(TableC2!$D$100+TableC2!$O$100)</f>
        <v>0</v>
      </c>
      <c r="M54" s="306">
        <f>1000*C105*(TableC2!N52+TableC2!Y52)/(TableC2!$D$100+TableC2!$O$100)</f>
        <v>0</v>
      </c>
      <c r="N54" s="305">
        <f>1000*C105*TableC3!C52/TableC3!$C$91</f>
        <v>185167.96280164787</v>
      </c>
      <c r="O54" s="293">
        <f>1000*C105*TableC3!D52/TableC3!$C$91</f>
        <v>44873.683625126701</v>
      </c>
      <c r="P54" s="269">
        <f>1000*C105*TableC3!E52/TableC3!$C$91</f>
        <v>2449.7205318317565</v>
      </c>
      <c r="Q54" s="269">
        <f>1000*C105*TableC3!F52/TableC3!$C$91</f>
        <v>1321.3154073340779</v>
      </c>
      <c r="R54" s="269">
        <f>1000*C105*TableC3!G52/TableC3!$C$91</f>
        <v>7277.9314944592388</v>
      </c>
      <c r="S54" s="303">
        <f>1000*C105*TableC3!H52/TableC3!$C$91</f>
        <v>12848.676954194019</v>
      </c>
      <c r="T54" s="303">
        <f>1000*C105*TableC3!I52/TableC3!$C$91</f>
        <v>553.37628019149133</v>
      </c>
      <c r="U54" s="303">
        <f>1000*C105*TableC3!J52/TableC3!$C$91</f>
        <v>20422.66295711611</v>
      </c>
      <c r="V54" s="304">
        <f>1000*C105*TableC3!K52/TableC3!$C$91</f>
        <v>140294.27917652114</v>
      </c>
      <c r="W54" s="303">
        <f>1000*C105*TableC3!L52/TableC3!$C$91</f>
        <v>0</v>
      </c>
      <c r="X54" s="302">
        <f>1000*C105*TableC3!M52/TableC3!$C$91</f>
        <v>140294.27917652114</v>
      </c>
    </row>
    <row r="55" spans="1:24" ht="14" hidden="1" customHeight="1" x14ac:dyDescent="0.35">
      <c r="B55" s="297" t="s">
        <v>78</v>
      </c>
      <c r="C55" s="308">
        <f>1000*C105*(TableC2!D53+TableC2!O53)/(TableC2!$D$100+TableC2!$O$100)</f>
        <v>0</v>
      </c>
      <c r="D55" s="293">
        <f>1000*C105*(TableC2!E53+TableC2!P53)/(TableC2!$D$100+TableC2!$O$100)</f>
        <v>0</v>
      </c>
      <c r="E55" s="292">
        <f>1000*C105*(TableC2!F53+TableC2!Q53)/(TableC2!$D$100+TableC2!$O$100)</f>
        <v>0</v>
      </c>
      <c r="F55" s="292">
        <f>1000*C105*(TableC2!G53+TableC2!R53)/(TableC2!$D$100+TableC2!$O$100)</f>
        <v>0</v>
      </c>
      <c r="G55" s="292">
        <f>1000*C105*(TableC2!H53+TableC2!S53)/(TableC2!$D$100+TableC2!$O$100)</f>
        <v>0</v>
      </c>
      <c r="H55" s="290">
        <f>1000*C105*(TableC2!I53+TableC2!T53)/(TableC2!$D$100+TableC2!$O$100)</f>
        <v>0</v>
      </c>
      <c r="I55" s="290">
        <f>1000*C105*(TableC2!J53+TableC2!U53)/(TableC2!$D$100+TableC2!$O$100)</f>
        <v>0</v>
      </c>
      <c r="J55" s="290">
        <f>1000*C105*(TableC2!K53+TableC2!V53)/(TableC2!$D$100+TableC2!$O$100)</f>
        <v>0</v>
      </c>
      <c r="K55" s="296">
        <f>1000*C105*(TableC2!L53+TableC2!W53)/(TableC2!$D$100+TableC2!$O$100)</f>
        <v>0</v>
      </c>
      <c r="L55" s="290">
        <f>1000*C105*(TableC2!M53+TableC2!X53)/(TableC2!$D$100+TableC2!$O$100)</f>
        <v>0</v>
      </c>
      <c r="M55" s="295">
        <f>1000*C105*(TableC2!N53+TableC2!Y53)/(TableC2!$D$100+TableC2!$O$100)</f>
        <v>0</v>
      </c>
      <c r="N55" s="294">
        <f>1000*C105*TableC3!C53/TableC3!$C$91</f>
        <v>1.1598683591806547</v>
      </c>
      <c r="O55" s="293">
        <f>1000*C105*TableC3!D53/TableC3!$C$91</f>
        <v>3.4486008473265051E-2</v>
      </c>
      <c r="P55" s="292">
        <f>1000*C105*TableC3!E53/TableC3!$C$91</f>
        <v>0</v>
      </c>
      <c r="Q55" s="292">
        <f>1000*C105*TableC3!F53/TableC3!$C$91</f>
        <v>3.4486008473265051E-2</v>
      </c>
      <c r="R55" s="292">
        <f>1000*C105*TableC3!G53/TableC3!$C$91</f>
        <v>0</v>
      </c>
      <c r="S55" s="290">
        <f>1000*C105*TableC3!H53/TableC3!$C$91</f>
        <v>0</v>
      </c>
      <c r="T55" s="290">
        <f>1000*C105*TableC3!I53/TableC3!$C$91</f>
        <v>0</v>
      </c>
      <c r="U55" s="290">
        <f>1000*C105*TableC3!J53/TableC3!$C$91</f>
        <v>0</v>
      </c>
      <c r="V55" s="296">
        <f>1000*C105*TableC3!K53/TableC3!$C$91</f>
        <v>1.1253823507073897</v>
      </c>
      <c r="W55" s="290">
        <f>1000*C105*TableC3!L53/TableC3!$C$91</f>
        <v>0</v>
      </c>
      <c r="X55" s="289">
        <f>1000*C105*TableC3!M53/TableC3!$C$91</f>
        <v>1.1253823507073897</v>
      </c>
    </row>
    <row r="56" spans="1:24" ht="14" hidden="1" customHeight="1" x14ac:dyDescent="0.35">
      <c r="B56" s="297" t="s">
        <v>79</v>
      </c>
      <c r="C56" s="308">
        <f>1000*C105*(TableC2!D54+TableC2!O54)/(TableC2!$D$100+TableC2!$O$100)</f>
        <v>0</v>
      </c>
      <c r="D56" s="293">
        <f>1000*C105*(TableC2!E54+TableC2!P54)/(TableC2!$D$100+TableC2!$O$100)</f>
        <v>0</v>
      </c>
      <c r="E56" s="292">
        <f>1000*C105*(TableC2!F54+TableC2!Q54)/(TableC2!$D$100+TableC2!$O$100)</f>
        <v>0</v>
      </c>
      <c r="F56" s="292">
        <f>1000*C105*(TableC2!G54+TableC2!R54)/(TableC2!$D$100+TableC2!$O$100)</f>
        <v>0</v>
      </c>
      <c r="G56" s="292">
        <f>1000*C105*(TableC2!H54+TableC2!S54)/(TableC2!$D$100+TableC2!$O$100)</f>
        <v>0</v>
      </c>
      <c r="H56" s="290">
        <f>1000*C105*(TableC2!I54+TableC2!T54)/(TableC2!$D$100+TableC2!$O$100)</f>
        <v>0</v>
      </c>
      <c r="I56" s="290">
        <f>1000*C105*(TableC2!J54+TableC2!U54)/(TableC2!$D$100+TableC2!$O$100)</f>
        <v>0</v>
      </c>
      <c r="J56" s="290">
        <f>1000*C105*(TableC2!K54+TableC2!V54)/(TableC2!$D$100+TableC2!$O$100)</f>
        <v>0</v>
      </c>
      <c r="K56" s="296">
        <f>1000*C105*(TableC2!L54+TableC2!W54)/(TableC2!$D$100+TableC2!$O$100)</f>
        <v>0</v>
      </c>
      <c r="L56" s="290">
        <f>1000*C105*(TableC2!M54+TableC2!X54)/(TableC2!$D$100+TableC2!$O$100)</f>
        <v>0</v>
      </c>
      <c r="M56" s="295">
        <f>1000*C105*(TableC2!N54+TableC2!Y54)/(TableC2!$D$100+TableC2!$O$100)</f>
        <v>0</v>
      </c>
      <c r="N56" s="294">
        <f>1000*C105*TableC3!C54/TableC3!$C$91</f>
        <v>102.23585300379081</v>
      </c>
      <c r="O56" s="293">
        <f>1000*C105*TableC3!D54/TableC3!$C$91</f>
        <v>4.3257983341804954E-3</v>
      </c>
      <c r="P56" s="292">
        <f>1000*C105*TableC3!E54/TableC3!$C$91</f>
        <v>0</v>
      </c>
      <c r="Q56" s="292">
        <f>1000*C105*TableC3!F54/TableC3!$C$91</f>
        <v>4.3257983341804954E-3</v>
      </c>
      <c r="R56" s="292">
        <f>1000*C105*TableC3!G54/TableC3!$C$91</f>
        <v>0</v>
      </c>
      <c r="S56" s="290">
        <f>1000*C105*TableC3!H54/TableC3!$C$91</f>
        <v>0</v>
      </c>
      <c r="T56" s="290">
        <f>1000*C105*TableC3!I54/TableC3!$C$91</f>
        <v>0</v>
      </c>
      <c r="U56" s="290">
        <f>1000*C105*TableC3!J54/TableC3!$C$91</f>
        <v>0</v>
      </c>
      <c r="V56" s="296">
        <f>1000*C105*TableC3!K54/TableC3!$C$91</f>
        <v>102.23152720545663</v>
      </c>
      <c r="W56" s="290">
        <f>1000*C105*TableC3!L54/TableC3!$C$91</f>
        <v>0</v>
      </c>
      <c r="X56" s="289">
        <f>1000*C105*TableC3!M54/TableC3!$C$91</f>
        <v>102.23152720545663</v>
      </c>
    </row>
    <row r="57" spans="1:24" ht="14" hidden="1" customHeight="1" x14ac:dyDescent="0.35">
      <c r="B57" s="297" t="str">
        <f>+[3]TableA1!A56</f>
        <v>Antigua and Barbuda</v>
      </c>
      <c r="C57" s="308">
        <f>1000*C105*(TableC2!D55+TableC2!O55)/(TableC2!$D$100+TableC2!$O$100)</f>
        <v>0</v>
      </c>
      <c r="D57" s="293">
        <f>1000*C105*(TableC2!E55+TableC2!P55)/(TableC2!$D$100+TableC2!$O$100)</f>
        <v>0</v>
      </c>
      <c r="E57" s="292">
        <f>1000*C105*(TableC2!F55+TableC2!Q55)/(TableC2!$D$100+TableC2!$O$100)</f>
        <v>0</v>
      </c>
      <c r="F57" s="292">
        <f>1000*C105*(TableC2!G55+TableC2!R55)/(TableC2!$D$100+TableC2!$O$100)</f>
        <v>0</v>
      </c>
      <c r="G57" s="292">
        <f>1000*C105*(TableC2!H55+TableC2!S55)/(TableC2!$D$100+TableC2!$O$100)</f>
        <v>0</v>
      </c>
      <c r="H57" s="290">
        <f>1000*C105*(TableC2!I55+TableC2!T55)/(TableC2!$D$100+TableC2!$O$100)</f>
        <v>0</v>
      </c>
      <c r="I57" s="290">
        <f>1000*C105*(TableC2!J55+TableC2!U55)/(TableC2!$D$100+TableC2!$O$100)</f>
        <v>0</v>
      </c>
      <c r="J57" s="290">
        <f>1000*C105*(TableC2!K55+TableC2!V55)/(TableC2!$D$100+TableC2!$O$100)</f>
        <v>0</v>
      </c>
      <c r="K57" s="296">
        <f>1000*C105*(TableC2!L55+TableC2!W55)/(TableC2!$D$100+TableC2!$O$100)</f>
        <v>0</v>
      </c>
      <c r="L57" s="290">
        <f>1000*C105*(TableC2!M55+TableC2!X55)/(TableC2!$D$100+TableC2!$O$100)</f>
        <v>0</v>
      </c>
      <c r="M57" s="295">
        <f>1000*C105*(TableC2!N55+TableC2!Y55)/(TableC2!$D$100+TableC2!$O$100)</f>
        <v>0</v>
      </c>
      <c r="N57" s="294">
        <f>1000*C105*TableC3!C55/TableC3!$C$91</f>
        <v>6.3500896436722813</v>
      </c>
      <c r="O57" s="293">
        <f>1000*C105*TableC3!D55/TableC3!$C$91</f>
        <v>1.328496463890666E-2</v>
      </c>
      <c r="P57" s="292">
        <f>1000*C105*TableC3!E55/TableC3!$C$91</f>
        <v>0</v>
      </c>
      <c r="Q57" s="292">
        <f>1000*C105*TableC3!F55/TableC3!$C$91</f>
        <v>1.328496463890666E-2</v>
      </c>
      <c r="R57" s="292">
        <f>1000*C105*TableC3!G55/TableC3!$C$91</f>
        <v>0</v>
      </c>
      <c r="S57" s="290">
        <f>1000*C105*TableC3!H55/TableC3!$C$91</f>
        <v>0</v>
      </c>
      <c r="T57" s="290">
        <f>1000*C105*TableC3!I55/TableC3!$C$91</f>
        <v>0</v>
      </c>
      <c r="U57" s="290">
        <f>1000*C105*TableC3!J55/TableC3!$C$91</f>
        <v>0</v>
      </c>
      <c r="V57" s="296">
        <f>1000*C105*TableC3!K55/TableC3!$C$91</f>
        <v>6.3368046790333752</v>
      </c>
      <c r="W57" s="290">
        <f>1000*C105*TableC3!L55/TableC3!$C$91</f>
        <v>0</v>
      </c>
      <c r="X57" s="289">
        <f>1000*C105*TableC3!M55/TableC3!$C$91</f>
        <v>6.3368046790333752</v>
      </c>
    </row>
    <row r="58" spans="1:24" ht="14" hidden="1" customHeight="1" x14ac:dyDescent="0.35">
      <c r="B58" s="297" t="s">
        <v>81</v>
      </c>
      <c r="C58" s="308">
        <f>1000*C105*(TableC2!D56+TableC2!O56)/(TableC2!$D$100+TableC2!$O$100)</f>
        <v>0</v>
      </c>
      <c r="D58" s="293">
        <f>1000*C105*(TableC2!E56+TableC2!P56)/(TableC2!$D$100+TableC2!$O$100)</f>
        <v>0</v>
      </c>
      <c r="E58" s="292">
        <f>1000*C105*(TableC2!F56+TableC2!Q56)/(TableC2!$D$100+TableC2!$O$100)</f>
        <v>0</v>
      </c>
      <c r="F58" s="292">
        <f>1000*C105*(TableC2!G56+TableC2!R56)/(TableC2!$D$100+TableC2!$O$100)</f>
        <v>0</v>
      </c>
      <c r="G58" s="292">
        <f>1000*C105*(TableC2!H56+TableC2!S56)/(TableC2!$D$100+TableC2!$O$100)</f>
        <v>0</v>
      </c>
      <c r="H58" s="290">
        <f>1000*C105*(TableC2!I56+TableC2!T56)/(TableC2!$D$100+TableC2!$O$100)</f>
        <v>0</v>
      </c>
      <c r="I58" s="290">
        <f>1000*C105*(TableC2!J56+TableC2!U56)/(TableC2!$D$100+TableC2!$O$100)</f>
        <v>0</v>
      </c>
      <c r="J58" s="290">
        <f>1000*C105*(TableC2!K56+TableC2!V56)/(TableC2!$D$100+TableC2!$O$100)</f>
        <v>0</v>
      </c>
      <c r="K58" s="296">
        <f>1000*C105*(TableC2!L56+TableC2!W56)/(TableC2!$D$100+TableC2!$O$100)</f>
        <v>0</v>
      </c>
      <c r="L58" s="290">
        <f>1000*C105*(TableC2!M56+TableC2!X56)/(TableC2!$D$100+TableC2!$O$100)</f>
        <v>0</v>
      </c>
      <c r="M58" s="295">
        <f>1000*C105*(TableC2!N56+TableC2!Y56)/(TableC2!$D$100+TableC2!$O$100)</f>
        <v>0</v>
      </c>
      <c r="N58" s="294">
        <f>1000*C105*TableC3!C56/TableC3!$C$91</f>
        <v>59.038114220971636</v>
      </c>
      <c r="O58" s="293">
        <f>1000*C105*TableC3!D56/TableC3!$C$91</f>
        <v>0</v>
      </c>
      <c r="P58" s="292">
        <f>1000*C105*TableC3!E56/TableC3!$C$91</f>
        <v>0</v>
      </c>
      <c r="Q58" s="292">
        <f>1000*C105*TableC3!F56/TableC3!$C$91</f>
        <v>0</v>
      </c>
      <c r="R58" s="292">
        <f>1000*C105*TableC3!G56/TableC3!$C$91</f>
        <v>0</v>
      </c>
      <c r="S58" s="290">
        <f>1000*C105*TableC3!H56/TableC3!$C$91</f>
        <v>0</v>
      </c>
      <c r="T58" s="290">
        <f>1000*C105*TableC3!I56/TableC3!$C$91</f>
        <v>0</v>
      </c>
      <c r="U58" s="290">
        <f>1000*C105*TableC3!J56/TableC3!$C$91</f>
        <v>0</v>
      </c>
      <c r="V58" s="296">
        <f>1000*C105*TableC3!K56/TableC3!$C$91</f>
        <v>59.038114220971636</v>
      </c>
      <c r="W58" s="290">
        <f>1000*C105*TableC3!L56/TableC3!$C$91</f>
        <v>0</v>
      </c>
      <c r="X58" s="289">
        <f>1000*C105*TableC3!M56/TableC3!$C$91</f>
        <v>59.038114220971636</v>
      </c>
    </row>
    <row r="59" spans="1:24" ht="14" hidden="1" customHeight="1" x14ac:dyDescent="0.35">
      <c r="A59" s="343" t="s">
        <v>82</v>
      </c>
      <c r="B59" s="297" t="s">
        <v>83</v>
      </c>
      <c r="C59" s="308">
        <f>1000*C105*(TableC2!D57+TableC2!O57)/(TableC2!$D$100+TableC2!$O$100)</f>
        <v>0</v>
      </c>
      <c r="D59" s="293">
        <f>1000*C105*(TableC2!E57+TableC2!P57)/(TableC2!$D$100+TableC2!$O$100)</f>
        <v>0</v>
      </c>
      <c r="E59" s="292">
        <f>1000*C105*(TableC2!F57+TableC2!Q57)/(TableC2!$D$100+TableC2!$O$100)</f>
        <v>0</v>
      </c>
      <c r="F59" s="292">
        <f>1000*C105*(TableC2!G57+TableC2!R57)/(TableC2!$D$100+TableC2!$O$100)</f>
        <v>0</v>
      </c>
      <c r="G59" s="292">
        <f>1000*C105*(TableC2!H57+TableC2!S57)/(TableC2!$D$100+TableC2!$O$100)</f>
        <v>0</v>
      </c>
      <c r="H59" s="290">
        <f>1000*C105*(TableC2!I57+TableC2!T57)/(TableC2!$D$100+TableC2!$O$100)</f>
        <v>0</v>
      </c>
      <c r="I59" s="290">
        <f>1000*C105*(TableC2!J57+TableC2!U57)/(TableC2!$D$100+TableC2!$O$100)</f>
        <v>0</v>
      </c>
      <c r="J59" s="290">
        <f>1000*C105*(TableC2!K57+TableC2!V57)/(TableC2!$D$100+TableC2!$O$100)</f>
        <v>0</v>
      </c>
      <c r="K59" s="296">
        <f>1000*C105*(TableC2!L57+TableC2!W57)/(TableC2!$D$100+TableC2!$O$100)</f>
        <v>0</v>
      </c>
      <c r="L59" s="290">
        <f>1000*C105*(TableC2!M57+TableC2!X57)/(TableC2!$D$100+TableC2!$O$100)</f>
        <v>0</v>
      </c>
      <c r="M59" s="295">
        <f>1000*C105*(TableC2!N57+TableC2!Y57)/(TableC2!$D$100+TableC2!$O$100)</f>
        <v>0</v>
      </c>
      <c r="N59" s="294">
        <f>1000*C105*TableC3!C57/TableC3!$C$91</f>
        <v>739.4697028813714</v>
      </c>
      <c r="O59" s="293">
        <f>1000*C105*TableC3!D57/TableC3!$C$91</f>
        <v>187.09631530535827</v>
      </c>
      <c r="P59" s="292">
        <f>1000*C105*TableC3!E57/TableC3!$C$91</f>
        <v>0</v>
      </c>
      <c r="Q59" s="292">
        <f>1000*C105*TableC3!F57/TableC3!$C$91</f>
        <v>0</v>
      </c>
      <c r="R59" s="292">
        <f>1000*C105*TableC3!G57/TableC3!$C$91</f>
        <v>0</v>
      </c>
      <c r="S59" s="290">
        <f>1000*C105*TableC3!H57/TableC3!$C$91</f>
        <v>187.09631530535827</v>
      </c>
      <c r="T59" s="290">
        <f>1000*C105*TableC3!I57/TableC3!$C$91</f>
        <v>0</v>
      </c>
      <c r="U59" s="290">
        <f>1000*C105*TableC3!J57/TableC3!$C$91</f>
        <v>0</v>
      </c>
      <c r="V59" s="296">
        <f>1000*C105*TableC3!K57/TableC3!$C$91</f>
        <v>552.3733875760131</v>
      </c>
      <c r="W59" s="290">
        <f>1000*C105*TableC3!L57/TableC3!$C$91</f>
        <v>0</v>
      </c>
      <c r="X59" s="289">
        <f>1000*C105*TableC3!M57/TableC3!$C$91</f>
        <v>552.3733875760131</v>
      </c>
    </row>
    <row r="60" spans="1:24" ht="14" hidden="1" customHeight="1" x14ac:dyDescent="0.35">
      <c r="A60" s="343" t="s">
        <v>84</v>
      </c>
      <c r="B60" s="297" t="s">
        <v>85</v>
      </c>
      <c r="C60" s="308">
        <f>1000*C105*(TableC2!D58+TableC2!O58)/(TableC2!$D$100+TableC2!$O$100)</f>
        <v>0</v>
      </c>
      <c r="D60" s="293">
        <f>1000*C105*(TableC2!E58+TableC2!P58)/(TableC2!$D$100+TableC2!$O$100)</f>
        <v>0</v>
      </c>
      <c r="E60" s="292">
        <f>1000*C105*(TableC2!F58+TableC2!Q58)/(TableC2!$D$100+TableC2!$O$100)</f>
        <v>0</v>
      </c>
      <c r="F60" s="292">
        <f>1000*C105*(TableC2!G58+TableC2!R58)/(TableC2!$D$100+TableC2!$O$100)</f>
        <v>0</v>
      </c>
      <c r="G60" s="292">
        <f>1000*C105*(TableC2!H58+TableC2!S58)/(TableC2!$D$100+TableC2!$O$100)</f>
        <v>0</v>
      </c>
      <c r="H60" s="290">
        <f>1000*C105*(TableC2!I58+TableC2!T58)/(TableC2!$D$100+TableC2!$O$100)</f>
        <v>0</v>
      </c>
      <c r="I60" s="290">
        <f>1000*C105*(TableC2!J58+TableC2!U58)/(TableC2!$D$100+TableC2!$O$100)</f>
        <v>0</v>
      </c>
      <c r="J60" s="290">
        <f>1000*C105*(TableC2!K58+TableC2!V58)/(TableC2!$D$100+TableC2!$O$100)</f>
        <v>0</v>
      </c>
      <c r="K60" s="296">
        <f>1000*C105*(TableC2!L58+TableC2!W58)/(TableC2!$D$100+TableC2!$O$100)</f>
        <v>0</v>
      </c>
      <c r="L60" s="290">
        <f>1000*C105*(TableC2!M58+TableC2!X58)/(TableC2!$D$100+TableC2!$O$100)</f>
        <v>0</v>
      </c>
      <c r="M60" s="295">
        <f>1000*C105*(TableC2!N58+TableC2!Y58)/(TableC2!$D$100+TableC2!$O$100)</f>
        <v>0</v>
      </c>
      <c r="N60" s="294">
        <f>1000*C105*TableC3!C58/TableC3!$C$91</f>
        <v>388.30252200418403</v>
      </c>
      <c r="O60" s="293">
        <f>1000*C105*TableC3!D58/TableC3!$C$91</f>
        <v>-92.336264217279492</v>
      </c>
      <c r="P60" s="292">
        <f>1000*C105*TableC3!E58/TableC3!$C$91</f>
        <v>-95.309547493078739</v>
      </c>
      <c r="Q60" s="292">
        <f>1000*C105*TableC3!F58/TableC3!$C$91</f>
        <v>3.1939378062329595</v>
      </c>
      <c r="R60" s="292">
        <f>1000*C105*TableC3!G58/TableC3!$C$91</f>
        <v>-0.2206545304337133</v>
      </c>
      <c r="S60" s="290">
        <f>1000*C105*TableC3!H58/TableC3!$C$91</f>
        <v>0</v>
      </c>
      <c r="T60" s="290">
        <f>1000*C105*TableC3!I58/TableC3!$C$91</f>
        <v>0</v>
      </c>
      <c r="U60" s="290">
        <f>1000*C105*TableC3!J58/TableC3!$C$91</f>
        <v>0</v>
      </c>
      <c r="V60" s="296">
        <f>1000*C105*TableC3!K58/TableC3!$C$91</f>
        <v>480.63878622146359</v>
      </c>
      <c r="W60" s="290">
        <f>1000*C105*TableC3!L58/TableC3!$C$91</f>
        <v>0</v>
      </c>
      <c r="X60" s="289">
        <f>1000*C105*TableC3!M58/TableC3!$C$91</f>
        <v>480.63878622146359</v>
      </c>
    </row>
    <row r="61" spans="1:24" ht="14" hidden="1" customHeight="1" x14ac:dyDescent="0.35">
      <c r="B61" s="297" t="str">
        <f>+[3]TableA1!A60</f>
        <v>Barbados</v>
      </c>
      <c r="C61" s="308">
        <f>1000*C105*(TableC2!D59+TableC2!O59)/(TableC2!$D$100+TableC2!$O$100)</f>
        <v>0</v>
      </c>
      <c r="D61" s="293">
        <f>1000*C105*(TableC2!E59+TableC2!P59)/(TableC2!$D$100+TableC2!$O$100)</f>
        <v>0</v>
      </c>
      <c r="E61" s="292">
        <f>1000*C105*(TableC2!F59+TableC2!Q59)/(TableC2!$D$100+TableC2!$O$100)</f>
        <v>0</v>
      </c>
      <c r="F61" s="292">
        <f>1000*C105*(TableC2!G59+TableC2!R59)/(TableC2!$D$100+TableC2!$O$100)</f>
        <v>0</v>
      </c>
      <c r="G61" s="292">
        <f>1000*C105*(TableC2!H59+TableC2!S59)/(TableC2!$D$100+TableC2!$O$100)</f>
        <v>0</v>
      </c>
      <c r="H61" s="290">
        <f>1000*C105*(TableC2!I59+TableC2!T59)/(TableC2!$D$100+TableC2!$O$100)</f>
        <v>0</v>
      </c>
      <c r="I61" s="290">
        <f>1000*C105*(TableC2!J59+TableC2!U59)/(TableC2!$D$100+TableC2!$O$100)</f>
        <v>0</v>
      </c>
      <c r="J61" s="290">
        <f>1000*C105*(TableC2!K59+TableC2!V59)/(TableC2!$D$100+TableC2!$O$100)</f>
        <v>0</v>
      </c>
      <c r="K61" s="296">
        <f>1000*C105*(TableC2!L59+TableC2!W59)/(TableC2!$D$100+TableC2!$O$100)</f>
        <v>0</v>
      </c>
      <c r="L61" s="290">
        <f>1000*C105*(TableC2!M59+TableC2!X59)/(TableC2!$D$100+TableC2!$O$100)</f>
        <v>0</v>
      </c>
      <c r="M61" s="295">
        <f>1000*C105*(TableC2!N59+TableC2!Y59)/(TableC2!$D$100+TableC2!$O$100)</f>
        <v>0</v>
      </c>
      <c r="N61" s="294">
        <f>1000*C105*TableC3!C59/TableC3!$C$91</f>
        <v>103.51354426502787</v>
      </c>
      <c r="O61" s="293">
        <f>1000*C105*TableC3!D59/TableC3!$C$91</f>
        <v>11.387668911574735</v>
      </c>
      <c r="P61" s="292">
        <f>1000*C105*TableC3!E59/TableC3!$C$91</f>
        <v>0</v>
      </c>
      <c r="Q61" s="292">
        <f>1000*C105*TableC3!F59/TableC3!$C$91</f>
        <v>6.4008765237728165</v>
      </c>
      <c r="R61" s="292">
        <f>1000*C105*TableC3!G59/TableC3!$C$91</f>
        <v>4.9867923878019198</v>
      </c>
      <c r="S61" s="290">
        <f>1000*C105*TableC3!H59/TableC3!$C$91</f>
        <v>0</v>
      </c>
      <c r="T61" s="290">
        <f>1000*C105*TableC3!I59/TableC3!$C$91</f>
        <v>0</v>
      </c>
      <c r="U61" s="290">
        <f>1000*C105*TableC3!J59/TableC3!$C$91</f>
        <v>0</v>
      </c>
      <c r="V61" s="296">
        <f>1000*C105*TableC3!K59/TableC3!$C$91</f>
        <v>92.125875353453154</v>
      </c>
      <c r="W61" s="290">
        <f>1000*C105*TableC3!L59/TableC3!$C$91</f>
        <v>0</v>
      </c>
      <c r="X61" s="289">
        <f>1000*C105*TableC3!M59/TableC3!$C$91</f>
        <v>92.125875353453154</v>
      </c>
    </row>
    <row r="62" spans="1:24" ht="14" hidden="1" customHeight="1" x14ac:dyDescent="0.35">
      <c r="B62" s="297" t="s">
        <v>87</v>
      </c>
      <c r="C62" s="308">
        <f>1000*C105*(TableC2!D60+TableC2!O60)/(TableC2!$D$100+TableC2!$O$100)</f>
        <v>0</v>
      </c>
      <c r="D62" s="293">
        <f>1000*C105*(TableC2!E60+TableC2!P60)/(TableC2!$D$100+TableC2!$O$100)</f>
        <v>0</v>
      </c>
      <c r="E62" s="292">
        <f>1000*C105*(TableC2!F60+TableC2!Q60)/(TableC2!$D$100+TableC2!$O$100)</f>
        <v>0</v>
      </c>
      <c r="F62" s="292">
        <f>1000*C105*(TableC2!G60+TableC2!R60)/(TableC2!$D$100+TableC2!$O$100)</f>
        <v>0</v>
      </c>
      <c r="G62" s="292">
        <f>1000*C105*(TableC2!H60+TableC2!S60)/(TableC2!$D$100+TableC2!$O$100)</f>
        <v>0</v>
      </c>
      <c r="H62" s="290">
        <f>1000*C105*(TableC2!I60+TableC2!T60)/(TableC2!$D$100+TableC2!$O$100)</f>
        <v>0</v>
      </c>
      <c r="I62" s="290">
        <f>1000*C105*(TableC2!J60+TableC2!U60)/(TableC2!$D$100+TableC2!$O$100)</f>
        <v>0</v>
      </c>
      <c r="J62" s="290">
        <f>1000*C105*(TableC2!K60+TableC2!V60)/(TableC2!$D$100+TableC2!$O$100)</f>
        <v>0</v>
      </c>
      <c r="K62" s="296">
        <f>1000*C105*(TableC2!L60+TableC2!W60)/(TableC2!$D$100+TableC2!$O$100)</f>
        <v>0</v>
      </c>
      <c r="L62" s="290">
        <f>1000*C105*(TableC2!M60+TableC2!X60)/(TableC2!$D$100+TableC2!$O$100)</f>
        <v>0</v>
      </c>
      <c r="M62" s="295">
        <f>1000*C105*(TableC2!N60+TableC2!Y60)/(TableC2!$D$100+TableC2!$O$100)</f>
        <v>0</v>
      </c>
      <c r="N62" s="294">
        <f>1000*C105*TableC3!C60/TableC3!$C$91</f>
        <v>2.5210951485815856</v>
      </c>
      <c r="O62" s="293">
        <f>1000*C105*TableC3!D60/TableC3!$C$91</f>
        <v>3.8608479246504943E-2</v>
      </c>
      <c r="P62" s="292">
        <f>1000*C105*TableC3!E60/TableC3!$C$91</f>
        <v>0</v>
      </c>
      <c r="Q62" s="292">
        <f>1000*C105*TableC3!F60/TableC3!$C$91</f>
        <v>0</v>
      </c>
      <c r="R62" s="292">
        <f>1000*C105*TableC3!G60/TableC3!$C$91</f>
        <v>0</v>
      </c>
      <c r="S62" s="290">
        <f>1000*C105*TableC3!H60/TableC3!$C$91</f>
        <v>0</v>
      </c>
      <c r="T62" s="290">
        <f>1000*C105*TableC3!I60/TableC3!$C$91</f>
        <v>3.8608479246504943E-2</v>
      </c>
      <c r="U62" s="290">
        <f>1000*C105*TableC3!J60/TableC3!$C$91</f>
        <v>0</v>
      </c>
      <c r="V62" s="296">
        <f>1000*C105*TableC3!K60/TableC3!$C$91</f>
        <v>2.4824866693350809</v>
      </c>
      <c r="W62" s="290">
        <f>1000*C105*TableC3!L60/TableC3!$C$91</f>
        <v>0</v>
      </c>
      <c r="X62" s="289">
        <f>1000*C105*TableC3!M60/TableC3!$C$91</f>
        <v>2.4824866693350809</v>
      </c>
    </row>
    <row r="63" spans="1:24" ht="14" hidden="1" customHeight="1" x14ac:dyDescent="0.35">
      <c r="B63" s="297" t="s">
        <v>88</v>
      </c>
      <c r="C63" s="308">
        <f>1000*C105*(TableC2!D61+TableC2!O61)/(TableC2!$D$100+TableC2!$O$100)</f>
        <v>0</v>
      </c>
      <c r="D63" s="293">
        <f>1000*C105*(TableC2!E61+TableC2!P61)/(TableC2!$D$100+TableC2!$O$100)</f>
        <v>0</v>
      </c>
      <c r="E63" s="292">
        <f>1000*C105*(TableC2!F61+TableC2!Q61)/(TableC2!$D$100+TableC2!$O$100)</f>
        <v>0</v>
      </c>
      <c r="F63" s="292">
        <f>1000*C105*(TableC2!G61+TableC2!R61)/(TableC2!$D$100+TableC2!$O$100)</f>
        <v>0</v>
      </c>
      <c r="G63" s="292">
        <f>1000*C105*(TableC2!H61+TableC2!S61)/(TableC2!$D$100+TableC2!$O$100)</f>
        <v>0</v>
      </c>
      <c r="H63" s="290">
        <f>1000*C105*(TableC2!I61+TableC2!T61)/(TableC2!$D$100+TableC2!$O$100)</f>
        <v>0</v>
      </c>
      <c r="I63" s="290">
        <f>1000*C105*(TableC2!J61+TableC2!U61)/(TableC2!$D$100+TableC2!$O$100)</f>
        <v>0</v>
      </c>
      <c r="J63" s="290">
        <f>1000*C105*(TableC2!K61+TableC2!V61)/(TableC2!$D$100+TableC2!$O$100)</f>
        <v>0</v>
      </c>
      <c r="K63" s="296">
        <f>1000*C105*(TableC2!L61+TableC2!W61)/(TableC2!$D$100+TableC2!$O$100)</f>
        <v>0</v>
      </c>
      <c r="L63" s="290">
        <f>1000*C105*(TableC2!M61+TableC2!X61)/(TableC2!$D$100+TableC2!$O$100)</f>
        <v>0</v>
      </c>
      <c r="M63" s="295">
        <f>1000*C105*(TableC2!N61+TableC2!Y61)/(TableC2!$D$100+TableC2!$O$100)</f>
        <v>0</v>
      </c>
      <c r="N63" s="294">
        <f>1000*C105*TableC3!C61/TableC3!$C$91</f>
        <v>33247.263418795235</v>
      </c>
      <c r="O63" s="293">
        <f>1000*C105*TableC3!D61/TableC3!$C$91</f>
        <v>21630.832204868679</v>
      </c>
      <c r="P63" s="292">
        <f>1000*C105*TableC3!E61/TableC3!$C$91</f>
        <v>0</v>
      </c>
      <c r="Q63" s="292">
        <f>1000*C105*TableC3!F61/TableC3!$C$91</f>
        <v>0</v>
      </c>
      <c r="R63" s="292">
        <f>1000*C105*TableC3!G61/TableC3!$C$91</f>
        <v>5858.3777830150884</v>
      </c>
      <c r="S63" s="290">
        <f>1000*C105*TableC3!H61/TableC3!$C$91</f>
        <v>3492.023625159482</v>
      </c>
      <c r="T63" s="290">
        <f>1000*C105*TableC3!I61/TableC3!$C$91</f>
        <v>0</v>
      </c>
      <c r="U63" s="290">
        <f>1000*C105*TableC3!J61/TableC3!$C$91</f>
        <v>12280.430796694105</v>
      </c>
      <c r="V63" s="296">
        <f>1000*C105*TableC3!K61/TableC3!$C$91</f>
        <v>11616.431213926564</v>
      </c>
      <c r="W63" s="290">
        <f>1000*C105*TableC3!L61/TableC3!$C$91</f>
        <v>0</v>
      </c>
      <c r="X63" s="289">
        <f>1000*C105*TableC3!M61/TableC3!$C$91</f>
        <v>11616.431213926564</v>
      </c>
    </row>
    <row r="64" spans="1:24" ht="14" hidden="1" customHeight="1" x14ac:dyDescent="0.35">
      <c r="A64" s="343" t="s">
        <v>352</v>
      </c>
      <c r="B64" s="297" t="s">
        <v>90</v>
      </c>
      <c r="C64" s="308">
        <f>1000*C105*(TableC2!D62+TableC2!O62)/(TableC2!$D$100+TableC2!$O$100)</f>
        <v>0</v>
      </c>
      <c r="D64" s="293">
        <f>1000*C105*(TableC2!E62+TableC2!P62)/(TableC2!$D$100+TableC2!$O$100)</f>
        <v>0</v>
      </c>
      <c r="E64" s="292">
        <f>1000*C105*(TableC2!F62+TableC2!Q62)/(TableC2!$D$100+TableC2!$O$100)</f>
        <v>0</v>
      </c>
      <c r="F64" s="292">
        <f>1000*C105*(TableC2!G62+TableC2!R62)/(TableC2!$D$100+TableC2!$O$100)</f>
        <v>0</v>
      </c>
      <c r="G64" s="292">
        <f>1000*C105*(TableC2!H62+TableC2!S62)/(TableC2!$D$100+TableC2!$O$100)</f>
        <v>0</v>
      </c>
      <c r="H64" s="290">
        <f>1000*C105*(TableC2!I62+TableC2!T62)/(TableC2!$D$100+TableC2!$O$100)</f>
        <v>0</v>
      </c>
      <c r="I64" s="290">
        <f>1000*C105*(TableC2!J62+TableC2!U62)/(TableC2!$D$100+TableC2!$O$100)</f>
        <v>0</v>
      </c>
      <c r="J64" s="290">
        <f>1000*C105*(TableC2!K62+TableC2!V62)/(TableC2!$D$100+TableC2!$O$100)</f>
        <v>0</v>
      </c>
      <c r="K64" s="296">
        <f>1000*C105*(TableC2!L62+TableC2!W62)/(TableC2!$D$100+TableC2!$O$100)</f>
        <v>0</v>
      </c>
      <c r="L64" s="290">
        <f>1000*C105*(TableC2!M62+TableC2!X62)/(TableC2!$D$100+TableC2!$O$100)</f>
        <v>0</v>
      </c>
      <c r="M64" s="295">
        <f>1000*C105*(TableC2!N62+TableC2!Y62)/(TableC2!$D$100+TableC2!$O$100)</f>
        <v>0</v>
      </c>
      <c r="N64" s="294">
        <f>1000*C105*TableC3!C62/TableC3!$C$91</f>
        <v>-2.5592425071999521</v>
      </c>
      <c r="O64" s="293">
        <f>1000*C105*TableC3!D62/TableC3!$C$91</f>
        <v>0</v>
      </c>
      <c r="P64" s="292">
        <f>1000*C105*TableC3!E62/TableC3!$C$91</f>
        <v>0</v>
      </c>
      <c r="Q64" s="292">
        <f>1000*C105*TableC3!F62/TableC3!$C$91</f>
        <v>0</v>
      </c>
      <c r="R64" s="292">
        <f>1000*C105*TableC3!G62/TableC3!$C$91</f>
        <v>0</v>
      </c>
      <c r="S64" s="290">
        <f>1000*C105*TableC3!H62/TableC3!$C$91</f>
        <v>0</v>
      </c>
      <c r="T64" s="290">
        <f>1000*C105*TableC3!I62/TableC3!$C$91</f>
        <v>0</v>
      </c>
      <c r="U64" s="290">
        <f>1000*C105*TableC3!J62/TableC3!$C$91</f>
        <v>0</v>
      </c>
      <c r="V64" s="296">
        <f>1000*C105*TableC3!K62/TableC3!$C$91</f>
        <v>-2.5592425071999521</v>
      </c>
      <c r="W64" s="290">
        <f>1000*C105*TableC3!L62/TableC3!$C$91</f>
        <v>0</v>
      </c>
      <c r="X64" s="289">
        <f>1000*C105*TableC3!M62/TableC3!$C$91</f>
        <v>-2.5592425071999521</v>
      </c>
    </row>
    <row r="65" spans="1:24" ht="14" hidden="1" customHeight="1" x14ac:dyDescent="0.35">
      <c r="A65" s="343" t="s">
        <v>405</v>
      </c>
      <c r="B65" s="297" t="s">
        <v>329</v>
      </c>
      <c r="C65" s="308">
        <f>1000*C105*(TableC2!D63+TableC2!O63)/(TableC2!$D$100+TableC2!$O$100)</f>
        <v>0</v>
      </c>
      <c r="D65" s="293">
        <f>1000*C105*(TableC2!E63+TableC2!P63)/(TableC2!$D$100+TableC2!$O$100)</f>
        <v>0</v>
      </c>
      <c r="E65" s="292">
        <f>1000*C105*(TableC2!F63+TableC2!Q63)/(TableC2!$D$100+TableC2!$O$100)</f>
        <v>0</v>
      </c>
      <c r="F65" s="292">
        <f>1000*C105*(TableC2!G63+TableC2!R63)/(TableC2!$D$100+TableC2!$O$100)</f>
        <v>0</v>
      </c>
      <c r="G65" s="292">
        <f>1000*C105*(TableC2!H63+TableC2!S63)/(TableC2!$D$100+TableC2!$O$100)</f>
        <v>0</v>
      </c>
      <c r="H65" s="290">
        <f>1000*C105*(TableC2!I63+TableC2!T63)/(TableC2!$D$100+TableC2!$O$100)</f>
        <v>0</v>
      </c>
      <c r="I65" s="290">
        <f>1000*C105*(TableC2!J63+TableC2!U63)/(TableC2!$D$100+TableC2!$O$100)</f>
        <v>0</v>
      </c>
      <c r="J65" s="290">
        <f>1000*C105*(TableC2!K63+TableC2!V63)/(TableC2!$D$100+TableC2!$O$100)</f>
        <v>0</v>
      </c>
      <c r="K65" s="296">
        <f>1000*C105*(TableC2!L63+TableC2!W63)/(TableC2!$D$100+TableC2!$O$100)</f>
        <v>0</v>
      </c>
      <c r="L65" s="290">
        <f>1000*C105*(TableC2!M63+TableC2!X63)/(TableC2!$D$100+TableC2!$O$100)</f>
        <v>0</v>
      </c>
      <c r="M65" s="295">
        <f>1000*C105*(TableC2!N63+TableC2!Y63)/(TableC2!$D$100+TableC2!$O$100)</f>
        <v>0</v>
      </c>
      <c r="N65" s="294">
        <f>1000*C105*TableC3!C63/TableC3!$C$91</f>
        <v>74211.396027746756</v>
      </c>
      <c r="O65" s="293">
        <f>1000*C105*TableC3!D63/TableC3!$C$91</f>
        <v>2522.454634209832</v>
      </c>
      <c r="P65" s="292">
        <f>1000*C105*TableC3!E63/TableC3!$C$91</f>
        <v>21.502763763682992</v>
      </c>
      <c r="Q65" s="292">
        <f>1000*C105*TableC3!F63/TableC3!$C$91</f>
        <v>453.38560992983651</v>
      </c>
      <c r="R65" s="292">
        <f>1000*C105*TableC3!G63/TableC3!$C$91</f>
        <v>0</v>
      </c>
      <c r="S65" s="290">
        <f>1000*C105*TableC3!H63/TableC3!$C$91</f>
        <v>2013.7460828968663</v>
      </c>
      <c r="T65" s="290">
        <f>1000*C105*TableC3!I63/TableC3!$C$91</f>
        <v>0</v>
      </c>
      <c r="U65" s="290">
        <f>1000*C105*TableC3!J63/TableC3!$C$91</f>
        <v>33.820177619446284</v>
      </c>
      <c r="V65" s="296">
        <f>1000*C105*TableC3!K63/TableC3!$C$91</f>
        <v>71688.941393536908</v>
      </c>
      <c r="W65" s="290">
        <f>1000*C105*TableC3!L63/TableC3!$C$91</f>
        <v>0</v>
      </c>
      <c r="X65" s="289">
        <f>1000*C105*TableC3!M63/TableC3!$C$91</f>
        <v>71688.941393536908</v>
      </c>
    </row>
    <row r="66" spans="1:24" ht="14" hidden="1" customHeight="1" x14ac:dyDescent="0.35">
      <c r="B66" s="301" t="s">
        <v>93</v>
      </c>
      <c r="C66" s="308">
        <f>1000*C105*(TableC2!D64+TableC2!O64)/(TableC2!$D$100+TableC2!$O$100)</f>
        <v>0</v>
      </c>
      <c r="D66" s="293">
        <f>1000*C105*(TableC2!E64+TableC2!P64)/(TableC2!$D$100+TableC2!$O$100)</f>
        <v>0</v>
      </c>
      <c r="E66" s="292">
        <f>1000*C105*(TableC2!F64+TableC2!Q64)/(TableC2!$D$100+TableC2!$O$100)</f>
        <v>0</v>
      </c>
      <c r="F66" s="292">
        <f>1000*C105*(TableC2!G64+TableC2!R64)/(TableC2!$D$100+TableC2!$O$100)</f>
        <v>0</v>
      </c>
      <c r="G66" s="292">
        <f>1000*C105*(TableC2!H64+TableC2!S64)/(TableC2!$D$100+TableC2!$O$100)</f>
        <v>0</v>
      </c>
      <c r="H66" s="290">
        <f>1000*C105*(TableC2!I64+TableC2!T64)/(TableC2!$D$100+TableC2!$O$100)</f>
        <v>0</v>
      </c>
      <c r="I66" s="290">
        <f>1000*C105*(TableC2!J64+TableC2!U64)/(TableC2!$D$100+TableC2!$O$100)</f>
        <v>0</v>
      </c>
      <c r="J66" s="290">
        <f>1000*C105*(TableC2!K64+TableC2!V64)/(TableC2!$D$100+TableC2!$O$100)</f>
        <v>0</v>
      </c>
      <c r="K66" s="296">
        <f>1000*C105*(TableC2!L64+TableC2!W64)/(TableC2!$D$100+TableC2!$O$100)</f>
        <v>0</v>
      </c>
      <c r="L66" s="290">
        <f>1000*C105*(TableC2!M64+TableC2!X64)/(TableC2!$D$100+TableC2!$O$100)</f>
        <v>0</v>
      </c>
      <c r="M66" s="295">
        <f>1000*C105*(TableC2!N64+TableC2!Y64)/(TableC2!$D$100+TableC2!$O$100)</f>
        <v>0</v>
      </c>
      <c r="N66" s="300">
        <f>1000*C105*TableC3!C64/TableC3!$C$91</f>
        <v>27267.475401371292</v>
      </c>
      <c r="O66" s="293">
        <f>1000*C105*TableC3!D64/TableC3!$C$91</f>
        <v>6345.7316190400934</v>
      </c>
      <c r="P66" s="292">
        <f>1000*C105*TableC3!E64/TableC3!$C$91</f>
        <v>55.790954630096842</v>
      </c>
      <c r="Q66" s="292">
        <f>1000*C105*TableC3!F64/TableC3!$C$91</f>
        <v>0</v>
      </c>
      <c r="R66" s="292">
        <f>1000*C105*TableC3!G64/TableC3!$C$91</f>
        <v>945.83564470411204</v>
      </c>
      <c r="S66" s="290">
        <f>1000*C105*TableC3!H64/TableC3!$C$91</f>
        <v>2416.1115600497119</v>
      </c>
      <c r="T66" s="290">
        <f>1000*C105*TableC3!I64/TableC3!$C$91</f>
        <v>0</v>
      </c>
      <c r="U66" s="290">
        <f>1000*C105*TableC3!J64/TableC3!$C$91</f>
        <v>2927.9934596561729</v>
      </c>
      <c r="V66" s="296">
        <f>1000*C105*TableC3!K64/TableC3!$C$91</f>
        <v>20921.743782331196</v>
      </c>
      <c r="W66" s="290">
        <f>1000*C105*TableC3!L64/TableC3!$C$91</f>
        <v>0</v>
      </c>
      <c r="X66" s="289">
        <f>1000*C105*TableC3!M64/TableC3!$C$91</f>
        <v>20921.743782331196</v>
      </c>
    </row>
    <row r="67" spans="1:24" ht="14" hidden="1" customHeight="1" x14ac:dyDescent="0.35">
      <c r="B67" s="297" t="s">
        <v>95</v>
      </c>
      <c r="C67" s="308">
        <f>1000*C105*(TableC2!D65+TableC2!O65)/(TableC2!$D$100+TableC2!$O$100)</f>
        <v>0</v>
      </c>
      <c r="D67" s="293">
        <f>1000*C105*(TableC2!E65+TableC2!P65)/(TableC2!$D$100+TableC2!$O$100)</f>
        <v>0</v>
      </c>
      <c r="E67" s="292">
        <f>1000*C105*(TableC2!F65+TableC2!Q65)/(TableC2!$D$100+TableC2!$O$100)</f>
        <v>0</v>
      </c>
      <c r="F67" s="292">
        <f>1000*C105*(TableC2!G65+TableC2!R65)/(TableC2!$D$100+TableC2!$O$100)</f>
        <v>0</v>
      </c>
      <c r="G67" s="292">
        <f>1000*C105*(TableC2!H65+TableC2!S65)/(TableC2!$D$100+TableC2!$O$100)</f>
        <v>0</v>
      </c>
      <c r="H67" s="290">
        <f>1000*C105*(TableC2!I65+TableC2!T65)/(TableC2!$D$100+TableC2!$O$100)</f>
        <v>0</v>
      </c>
      <c r="I67" s="290">
        <f>1000*C105*(TableC2!J65+TableC2!U65)/(TableC2!$D$100+TableC2!$O$100)</f>
        <v>0</v>
      </c>
      <c r="J67" s="290">
        <f>1000*C105*(TableC2!K65+TableC2!V65)/(TableC2!$D$100+TableC2!$O$100)</f>
        <v>0</v>
      </c>
      <c r="K67" s="296">
        <f>1000*C105*(TableC2!L65+TableC2!W65)/(TableC2!$D$100+TableC2!$O$100)</f>
        <v>0</v>
      </c>
      <c r="L67" s="290">
        <f>1000*C105*(TableC2!M65+TableC2!X65)/(TableC2!$D$100+TableC2!$O$100)</f>
        <v>0</v>
      </c>
      <c r="M67" s="295">
        <f>1000*C105*(TableC2!N65+TableC2!Y65)/(TableC2!$D$100+TableC2!$O$100)</f>
        <v>0</v>
      </c>
      <c r="N67" s="294">
        <f>1000*C105*TableC3!C65/TableC3!$C$91</f>
        <v>55.301313908950014</v>
      </c>
      <c r="O67" s="293">
        <f>1000*C105*TableC3!D65/TableC3!$C$91</f>
        <v>-7.4794748550972701</v>
      </c>
      <c r="P67" s="292">
        <f>1000*C105*TableC3!E65/TableC3!$C$91</f>
        <v>-7.4794748550972701</v>
      </c>
      <c r="Q67" s="292">
        <f>1000*C105*TableC3!F65/TableC3!$C$91</f>
        <v>0</v>
      </c>
      <c r="R67" s="292">
        <f>1000*C105*TableC3!G65/TableC3!$C$91</f>
        <v>0</v>
      </c>
      <c r="S67" s="290">
        <f>1000*C105*TableC3!H65/TableC3!$C$91</f>
        <v>0</v>
      </c>
      <c r="T67" s="290">
        <f>1000*C105*TableC3!I65/TableC3!$C$91</f>
        <v>0</v>
      </c>
      <c r="U67" s="290">
        <f>1000*C105*TableC3!J65/TableC3!$C$91</f>
        <v>0</v>
      </c>
      <c r="V67" s="296">
        <f>1000*C105*TableC3!K65/TableC3!$C$91</f>
        <v>62.78078876404728</v>
      </c>
      <c r="W67" s="290">
        <f>1000*C105*TableC3!L65/TableC3!$C$91</f>
        <v>0</v>
      </c>
      <c r="X67" s="289">
        <f>1000*C105*TableC3!M65/TableC3!$C$91</f>
        <v>62.78078876404728</v>
      </c>
    </row>
    <row r="68" spans="1:24" ht="14" hidden="1" customHeight="1" x14ac:dyDescent="0.35">
      <c r="B68" s="297" t="str">
        <f>+[3]TableA1!A67</f>
        <v>Cyprus</v>
      </c>
      <c r="C68" s="308">
        <f>1000*C105*(TableC2!D66+TableC2!O66)/(TableC2!$D$100+TableC2!$O$100)</f>
        <v>0</v>
      </c>
      <c r="D68" s="293">
        <f>1000*C105*(TableC2!E66+TableC2!P66)/(TableC2!$D$100+TableC2!$O$100)</f>
        <v>0</v>
      </c>
      <c r="E68" s="292">
        <f>1000*C105*(TableC2!F66+TableC2!Q66)/(TableC2!$D$100+TableC2!$O$100)</f>
        <v>0</v>
      </c>
      <c r="F68" s="292">
        <f>1000*C105*(TableC2!G66+TableC2!R66)/(TableC2!$D$100+TableC2!$O$100)</f>
        <v>0</v>
      </c>
      <c r="G68" s="292">
        <f>1000*C105*(TableC2!H66+TableC2!S66)/(TableC2!$D$100+TableC2!$O$100)</f>
        <v>0</v>
      </c>
      <c r="H68" s="290">
        <f>1000*C105*(TableC2!I66+TableC2!T66)/(TableC2!$D$100+TableC2!$O$100)</f>
        <v>0</v>
      </c>
      <c r="I68" s="290">
        <f>1000*C105*(TableC2!J66+TableC2!U66)/(TableC2!$D$100+TableC2!$O$100)</f>
        <v>0</v>
      </c>
      <c r="J68" s="290">
        <f>1000*C105*(TableC2!K66+TableC2!V66)/(TableC2!$D$100+TableC2!$O$100)</f>
        <v>0</v>
      </c>
      <c r="K68" s="296">
        <f>1000*C105*(TableC2!L66+TableC2!W66)/(TableC2!$D$100+TableC2!$O$100)</f>
        <v>0</v>
      </c>
      <c r="L68" s="290">
        <f>1000*C105*(TableC2!M66+TableC2!X66)/(TableC2!$D$100+TableC2!$O$100)</f>
        <v>102.00437013746469</v>
      </c>
      <c r="M68" s="295">
        <f>1000*C105*(TableC2!N66+TableC2!Y66)/(TableC2!$D$100+TableC2!$O$100)</f>
        <v>0</v>
      </c>
      <c r="N68" s="294">
        <f>1000*C105*TableC3!C66/TableC3!$C$91</f>
        <v>3480.9243234518308</v>
      </c>
      <c r="O68" s="293">
        <f>1000*C105*TableC3!D66/TableC3!$C$91</f>
        <v>3200.2205195765769</v>
      </c>
      <c r="P68" s="292">
        <f>1000*C105*TableC3!E66/TableC3!$C$91</f>
        <v>245.01322489098479</v>
      </c>
      <c r="Q68" s="292">
        <f>1000*C105*TableC3!F66/TableC3!$C$91</f>
        <v>815.19535817011024</v>
      </c>
      <c r="R68" s="292">
        <f>1000*C105*TableC3!G66/TableC3!$C$91</f>
        <v>20.356168342356629</v>
      </c>
      <c r="S68" s="290">
        <f>1000*C105*TableC3!H66/TableC3!$C$91</f>
        <v>197.97882520244028</v>
      </c>
      <c r="T68" s="290">
        <f>1000*C105*TableC3!I66/TableC3!$C$91</f>
        <v>4.7859159086798444</v>
      </c>
      <c r="U68" s="290">
        <f>1000*C105*TableC3!J66/TableC3!$C$91</f>
        <v>1916.8910270620054</v>
      </c>
      <c r="V68" s="296">
        <f>1000*C105*TableC3!K66/TableC3!$C$91</f>
        <v>280.70380387525393</v>
      </c>
      <c r="W68" s="290">
        <f>1000*C105*TableC3!L66/TableC3!$C$91</f>
        <v>0</v>
      </c>
      <c r="X68" s="289">
        <f>1000*C105*TableC3!M66/TableC3!$C$91</f>
        <v>280.70380387525393</v>
      </c>
    </row>
    <row r="69" spans="1:24" ht="14" hidden="1" customHeight="1" x14ac:dyDescent="0.35">
      <c r="B69" s="297" t="s">
        <v>97</v>
      </c>
      <c r="C69" s="308">
        <f>1000*C105*(TableC2!D67+TableC2!O67)/(TableC2!$D$100+TableC2!$O$100)</f>
        <v>0</v>
      </c>
      <c r="D69" s="293">
        <f>1000*C105*(TableC2!E67+TableC2!P67)/(TableC2!$D$100+TableC2!$O$100)</f>
        <v>0</v>
      </c>
      <c r="E69" s="292">
        <f>1000*C105*(TableC2!F67+TableC2!Q67)/(TableC2!$D$100+TableC2!$O$100)</f>
        <v>0</v>
      </c>
      <c r="F69" s="292">
        <f>1000*C105*(TableC2!G67+TableC2!R67)/(TableC2!$D$100+TableC2!$O$100)</f>
        <v>0</v>
      </c>
      <c r="G69" s="292">
        <f>1000*C105*(TableC2!H67+TableC2!S67)/(TableC2!$D$100+TableC2!$O$100)</f>
        <v>0</v>
      </c>
      <c r="H69" s="290">
        <f>1000*C105*(TableC2!I67+TableC2!T67)/(TableC2!$D$100+TableC2!$O$100)</f>
        <v>0</v>
      </c>
      <c r="I69" s="290">
        <f>1000*C105*(TableC2!J67+TableC2!U67)/(TableC2!$D$100+TableC2!$O$100)</f>
        <v>0</v>
      </c>
      <c r="J69" s="290">
        <f>1000*C105*(TableC2!K67+TableC2!V67)/(TableC2!$D$100+TableC2!$O$100)</f>
        <v>0</v>
      </c>
      <c r="K69" s="296">
        <f>1000*C105*(TableC2!L67+TableC2!W67)/(TableC2!$D$100+TableC2!$O$100)</f>
        <v>0</v>
      </c>
      <c r="L69" s="290">
        <f>1000*C105*(TableC2!M67+TableC2!X67)/(TableC2!$D$100+TableC2!$O$100)</f>
        <v>0</v>
      </c>
      <c r="M69" s="295">
        <f>1000*C105*(TableC2!N67+TableC2!Y67)/(TableC2!$D$100+TableC2!$O$100)</f>
        <v>0</v>
      </c>
      <c r="N69" s="294">
        <f>1000*C105*TableC3!C67/TableC3!$C$91</f>
        <v>1619.4757296239904</v>
      </c>
      <c r="O69" s="293">
        <f>1000*C105*TableC3!D67/TableC3!$C$91</f>
        <v>1385.2623055613701</v>
      </c>
      <c r="P69" s="292">
        <f>1000*C105*TableC3!E67/TableC3!$C$91</f>
        <v>-7.428321842933836</v>
      </c>
      <c r="Q69" s="292">
        <f>1000*C105*TableC3!F67/TableC3!$C$91</f>
        <v>1.3883940323219137</v>
      </c>
      <c r="R69" s="292">
        <f>1000*C105*TableC3!G67/TableC3!$C$91</f>
        <v>318.00031604812506</v>
      </c>
      <c r="S69" s="290">
        <f>1000*C105*TableC3!H67/TableC3!$C$91</f>
        <v>1073.3019173238567</v>
      </c>
      <c r="T69" s="290">
        <f>1000*C105*TableC3!I67/TableC3!$C$91</f>
        <v>0</v>
      </c>
      <c r="U69" s="290">
        <f>1000*C105*TableC3!J67/TableC3!$C$91</f>
        <v>0</v>
      </c>
      <c r="V69" s="296">
        <f>1000*C105*TableC3!K67/TableC3!$C$91</f>
        <v>234.21342406262048</v>
      </c>
      <c r="W69" s="290">
        <f>1000*C105*TableC3!L67/TableC3!$C$91</f>
        <v>0</v>
      </c>
      <c r="X69" s="289">
        <f>1000*C105*TableC3!M67/TableC3!$C$91</f>
        <v>234.21342406262048</v>
      </c>
    </row>
    <row r="70" spans="1:24" ht="14" hidden="1" customHeight="1" x14ac:dyDescent="0.35">
      <c r="B70" s="297" t="str">
        <f>+[3]TableA1!A69</f>
        <v>Grenada</v>
      </c>
      <c r="C70" s="308">
        <f>1000*C105*(TableC2!D68+TableC2!O68)/(TableC2!$D$100+TableC2!$O$100)</f>
        <v>0</v>
      </c>
      <c r="D70" s="293">
        <f>1000*C105*(TableC2!E68+TableC2!P68)/(TableC2!$D$100+TableC2!$O$100)</f>
        <v>0</v>
      </c>
      <c r="E70" s="292">
        <f>1000*C105*(TableC2!F68+TableC2!Q68)/(TableC2!$D$100+TableC2!$O$100)</f>
        <v>0</v>
      </c>
      <c r="F70" s="292">
        <f>1000*C105*(TableC2!G68+TableC2!R68)/(TableC2!$D$100+TableC2!$O$100)</f>
        <v>0</v>
      </c>
      <c r="G70" s="292">
        <f>1000*C105*(TableC2!H68+TableC2!S68)/(TableC2!$D$100+TableC2!$O$100)</f>
        <v>0</v>
      </c>
      <c r="H70" s="290">
        <f>1000*C105*(TableC2!I68+TableC2!T68)/(TableC2!$D$100+TableC2!$O$100)</f>
        <v>0</v>
      </c>
      <c r="I70" s="290">
        <f>1000*C105*(TableC2!J68+TableC2!U68)/(TableC2!$D$100+TableC2!$O$100)</f>
        <v>0</v>
      </c>
      <c r="J70" s="290">
        <f>1000*C105*(TableC2!K68+TableC2!V68)/(TableC2!$D$100+TableC2!$O$100)</f>
        <v>0</v>
      </c>
      <c r="K70" s="296">
        <f>1000*C105*(TableC2!L68+TableC2!W68)/(TableC2!$D$100+TableC2!$O$100)</f>
        <v>0</v>
      </c>
      <c r="L70" s="290">
        <f>1000*C105*(TableC2!M68+TableC2!X68)/(TableC2!$D$100+TableC2!$O$100)</f>
        <v>0</v>
      </c>
      <c r="M70" s="295">
        <f>1000*C105*(TableC2!N68+TableC2!Y68)/(TableC2!$D$100+TableC2!$O$100)</f>
        <v>0</v>
      </c>
      <c r="N70" s="294">
        <f>1000*C105*TableC3!C68/TableC3!$C$91</f>
        <v>1.9973070334596572</v>
      </c>
      <c r="O70" s="293">
        <f>1000*C105*TableC3!D68/TableC3!$C$91</f>
        <v>8.1488681676133323E-2</v>
      </c>
      <c r="P70" s="292">
        <f>1000*C105*TableC3!E68/TableC3!$C$91</f>
        <v>0</v>
      </c>
      <c r="Q70" s="292">
        <f>1000*C105*TableC3!F68/TableC3!$C$91</f>
        <v>8.1488681676133323E-2</v>
      </c>
      <c r="R70" s="292">
        <f>1000*C105*TableC3!G68/TableC3!$C$91</f>
        <v>0</v>
      </c>
      <c r="S70" s="290">
        <f>1000*C105*TableC3!H68/TableC3!$C$91</f>
        <v>0</v>
      </c>
      <c r="T70" s="290">
        <f>1000*C105*TableC3!I68/TableC3!$C$91</f>
        <v>0</v>
      </c>
      <c r="U70" s="290">
        <f>1000*C105*TableC3!J68/TableC3!$C$91</f>
        <v>0</v>
      </c>
      <c r="V70" s="296">
        <f>1000*C105*TableC3!K68/TableC3!$C$91</f>
        <v>1.9158183517835241</v>
      </c>
      <c r="W70" s="290">
        <f>1000*C105*TableC3!L68/TableC3!$C$91</f>
        <v>0</v>
      </c>
      <c r="X70" s="289">
        <f>1000*C105*TableC3!M68/TableC3!$C$91</f>
        <v>1.9158183517835241</v>
      </c>
    </row>
    <row r="71" spans="1:24" ht="14" hidden="1" customHeight="1" x14ac:dyDescent="0.35">
      <c r="B71" s="297" t="s">
        <v>99</v>
      </c>
      <c r="C71" s="308">
        <f>1000*C105*(TableC2!D69+TableC2!O69)/(TableC2!$D$100+TableC2!$O$100)</f>
        <v>0</v>
      </c>
      <c r="D71" s="293">
        <f>1000*C105*(TableC2!E69+TableC2!P69)/(TableC2!$D$100+TableC2!$O$100)</f>
        <v>0</v>
      </c>
      <c r="E71" s="292">
        <f>1000*C105*(TableC2!F69+TableC2!Q69)/(TableC2!$D$100+TableC2!$O$100)</f>
        <v>0</v>
      </c>
      <c r="F71" s="292">
        <f>1000*C105*(TableC2!G69+TableC2!R69)/(TableC2!$D$100+TableC2!$O$100)</f>
        <v>0</v>
      </c>
      <c r="G71" s="292">
        <f>1000*C105*(TableC2!H69+TableC2!S69)/(TableC2!$D$100+TableC2!$O$100)</f>
        <v>0</v>
      </c>
      <c r="H71" s="290">
        <f>1000*C105*(TableC2!I69+TableC2!T69)/(TableC2!$D$100+TableC2!$O$100)</f>
        <v>0</v>
      </c>
      <c r="I71" s="290">
        <f>1000*C105*(TableC2!J69+TableC2!U69)/(TableC2!$D$100+TableC2!$O$100)</f>
        <v>0</v>
      </c>
      <c r="J71" s="290">
        <f>1000*C105*(TableC2!K69+TableC2!V69)/(TableC2!$D$100+TableC2!$O$100)</f>
        <v>0</v>
      </c>
      <c r="K71" s="296">
        <f>1000*C105*(TableC2!L69+TableC2!W69)/(TableC2!$D$100+TableC2!$O$100)</f>
        <v>0</v>
      </c>
      <c r="L71" s="290">
        <f>1000*C105*(TableC2!M69+TableC2!X69)/(TableC2!$D$100+TableC2!$O$100)</f>
        <v>0</v>
      </c>
      <c r="M71" s="295">
        <f>1000*C105*(TableC2!N69+TableC2!Y69)/(TableC2!$D$100+TableC2!$O$100)</f>
        <v>0</v>
      </c>
      <c r="N71" s="294">
        <f>1000*C105*TableC3!C69/TableC3!$C$91</f>
        <v>457.74785061096469</v>
      </c>
      <c r="O71" s="293">
        <f>1000*C105*TableC3!D69/TableC3!$C$91</f>
        <v>369.63240497227213</v>
      </c>
      <c r="P71" s="292">
        <f>1000*C105*TableC3!E69/TableC3!$C$91</f>
        <v>-22.665075318476575</v>
      </c>
      <c r="Q71" s="292">
        <f>1000*C105*TableC3!F69/TableC3!$C$91</f>
        <v>17.26170903901075</v>
      </c>
      <c r="R71" s="292">
        <f>1000*C105*TableC3!G69/TableC3!$C$91</f>
        <v>0</v>
      </c>
      <c r="S71" s="290">
        <f>1000*C105*TableC3!H69/TableC3!$C$91</f>
        <v>375.03577125173791</v>
      </c>
      <c r="T71" s="290">
        <f>1000*C105*TableC3!I69/TableC3!$C$91</f>
        <v>0</v>
      </c>
      <c r="U71" s="290">
        <f>1000*C105*TableC3!J69/TableC3!$C$91</f>
        <v>0</v>
      </c>
      <c r="V71" s="296">
        <f>1000*C105*TableC3!K69/TableC3!$C$91</f>
        <v>88.115445638692563</v>
      </c>
      <c r="W71" s="290">
        <f>1000*C105*TableC3!L69/TableC3!$C$91</f>
        <v>0</v>
      </c>
      <c r="X71" s="289">
        <f>1000*C105*TableC3!M69/TableC3!$C$91</f>
        <v>88.115445638692563</v>
      </c>
    </row>
    <row r="72" spans="1:24" ht="14" hidden="1" customHeight="1" x14ac:dyDescent="0.35">
      <c r="A72" s="343" t="s">
        <v>100</v>
      </c>
      <c r="B72" s="297" t="s">
        <v>332</v>
      </c>
      <c r="C72" s="308">
        <f>1000*C105*(TableC2!D70+TableC2!O70)/(TableC2!$D$100+TableC2!$O$100)</f>
        <v>0</v>
      </c>
      <c r="D72" s="293">
        <f>1000*C105*(TableC2!E70+TableC2!P70)/(TableC2!$D$100+TableC2!$O$100)</f>
        <v>0</v>
      </c>
      <c r="E72" s="292">
        <f>1000*C105*(TableC2!F70+TableC2!Q70)/(TableC2!$D$100+TableC2!$O$100)</f>
        <v>0</v>
      </c>
      <c r="F72" s="292">
        <f>1000*C105*(TableC2!G70+TableC2!R70)/(TableC2!$D$100+TableC2!$O$100)</f>
        <v>0</v>
      </c>
      <c r="G72" s="292">
        <f>1000*C105*(TableC2!H70+TableC2!S70)/(TableC2!$D$100+TableC2!$O$100)</f>
        <v>0</v>
      </c>
      <c r="H72" s="290">
        <f>1000*C105*(TableC2!I70+TableC2!T70)/(TableC2!$D$100+TableC2!$O$100)</f>
        <v>0</v>
      </c>
      <c r="I72" s="290">
        <f>1000*C105*(TableC2!J70+TableC2!U70)/(TableC2!$D$100+TableC2!$O$100)</f>
        <v>0</v>
      </c>
      <c r="J72" s="290">
        <f>1000*C105*(TableC2!K70+TableC2!V70)/(TableC2!$D$100+TableC2!$O$100)</f>
        <v>0</v>
      </c>
      <c r="K72" s="296">
        <f>1000*C105*(TableC2!L70+TableC2!W70)/(TableC2!$D$100+TableC2!$O$100)</f>
        <v>0</v>
      </c>
      <c r="L72" s="290">
        <f>1000*C105*(TableC2!M70+TableC2!X70)/(TableC2!$D$100+TableC2!$O$100)</f>
        <v>0</v>
      </c>
      <c r="M72" s="295">
        <f>1000*C105*(TableC2!N70+TableC2!Y70)/(TableC2!$D$100+TableC2!$O$100)</f>
        <v>0</v>
      </c>
      <c r="N72" s="294">
        <f>1000*C105*TableC3!C70/TableC3!$C$91</f>
        <v>1563.5315382279939</v>
      </c>
      <c r="O72" s="293">
        <f>1000*C105*TableC3!D70/TableC3!$C$91</f>
        <v>1454.9264946703031</v>
      </c>
      <c r="P72" s="292">
        <f>1000*C105*TableC3!E70/TableC3!$C$91</f>
        <v>0.90902211663058463</v>
      </c>
      <c r="Q72" s="292">
        <f>1000*C105*TableC3!F70/TableC3!$C$91</f>
        <v>2.130944889776452</v>
      </c>
      <c r="R72" s="292">
        <f>1000*C105*TableC3!G70/TableC3!$C$91</f>
        <v>0</v>
      </c>
      <c r="S72" s="290">
        <f>1000*C105*TableC3!H70/TableC3!$C$91</f>
        <v>1319.2735569523436</v>
      </c>
      <c r="T72" s="290">
        <f>1000*C105*TableC3!I70/TableC3!$C$91</f>
        <v>0</v>
      </c>
      <c r="U72" s="290">
        <f>1000*C105*TableC3!J70/TableC3!$C$91</f>
        <v>132.61297071155252</v>
      </c>
      <c r="V72" s="296">
        <f>1000*C105*TableC3!K70/TableC3!$C$91</f>
        <v>108.60504355769102</v>
      </c>
      <c r="W72" s="290">
        <f>1000*C105*TableC3!L70/TableC3!$C$91</f>
        <v>0</v>
      </c>
      <c r="X72" s="289">
        <f>1000*C105*TableC3!M70/TableC3!$C$91</f>
        <v>108.60504355769102</v>
      </c>
    </row>
    <row r="73" spans="1:24" ht="14" hidden="1" customHeight="1" x14ac:dyDescent="0.35">
      <c r="A73" s="343" t="s">
        <v>102</v>
      </c>
      <c r="B73" s="297" t="s">
        <v>328</v>
      </c>
      <c r="C73" s="308">
        <f>1000*C105*(TableC2!D71+TableC2!O71)/(TableC2!$D$100+TableC2!$O$100)</f>
        <v>0</v>
      </c>
      <c r="D73" s="293">
        <f>1000*C105*(TableC2!E71+TableC2!P71)/(TableC2!$D$100+TableC2!$O$100)</f>
        <v>0</v>
      </c>
      <c r="E73" s="292">
        <f>1000*C105*(TableC2!F71+TableC2!Q71)/(TableC2!$D$100+TableC2!$O$100)</f>
        <v>0</v>
      </c>
      <c r="F73" s="292">
        <f>1000*C105*(TableC2!G71+TableC2!R71)/(TableC2!$D$100+TableC2!$O$100)</f>
        <v>0</v>
      </c>
      <c r="G73" s="292">
        <f>1000*C105*(TableC2!H71+TableC2!S71)/(TableC2!$D$100+TableC2!$O$100)</f>
        <v>0</v>
      </c>
      <c r="H73" s="290">
        <f>1000*C105*(TableC2!I71+TableC2!T71)/(TableC2!$D$100+TableC2!$O$100)</f>
        <v>0</v>
      </c>
      <c r="I73" s="290">
        <f>1000*C105*(TableC2!J71+TableC2!U71)/(TableC2!$D$100+TableC2!$O$100)</f>
        <v>0</v>
      </c>
      <c r="J73" s="290">
        <f>1000*C105*(TableC2!K71+TableC2!V71)/(TableC2!$D$100+TableC2!$O$100)</f>
        <v>0</v>
      </c>
      <c r="K73" s="296">
        <f>1000*C105*(TableC2!L71+TableC2!W71)/(TableC2!$D$100+TableC2!$O$100)</f>
        <v>0</v>
      </c>
      <c r="L73" s="290">
        <f>1000*C105*(TableC2!M71+TableC2!X71)/(TableC2!$D$100+TableC2!$O$100)</f>
        <v>0</v>
      </c>
      <c r="M73" s="295">
        <f>1000*C105*(TableC2!N71+TableC2!Y71)/(TableC2!$D$100+TableC2!$O$100)</f>
        <v>0</v>
      </c>
      <c r="N73" s="294">
        <f>1000*C105*TableC3!C71/TableC3!$C$91</f>
        <v>21389.513272352116</v>
      </c>
      <c r="O73" s="293">
        <f>1000*C105*TableC3!D71/TableC3!$C$91</f>
        <v>4921.4868299222544</v>
      </c>
      <c r="P73" s="292">
        <f>1000*C105*TableC3!E71/TableC3!$C$91</f>
        <v>2045.6683364368528</v>
      </c>
      <c r="Q73" s="292">
        <f>1000*C105*TableC3!F71/TableC3!$C$91</f>
        <v>4.9368165886449207</v>
      </c>
      <c r="R73" s="292">
        <f>1000*C105*TableC3!G71/TableC3!$C$91</f>
        <v>28.354107160732163</v>
      </c>
      <c r="S73" s="290">
        <f>1000*C105*TableC3!H71/TableC3!$C$91</f>
        <v>804.97769069049286</v>
      </c>
      <c r="T73" s="290">
        <f>1000*C105*TableC3!I71/TableC3!$C$91</f>
        <v>0</v>
      </c>
      <c r="U73" s="290">
        <f>1000*C105*TableC3!J71/TableC3!$C$91</f>
        <v>2037.5498790455322</v>
      </c>
      <c r="V73" s="296">
        <f>1000*C105*TableC3!K71/TableC3!$C$91</f>
        <v>16468.026442429862</v>
      </c>
      <c r="W73" s="290">
        <f>1000*C105*TableC3!L71/TableC3!$C$91</f>
        <v>0</v>
      </c>
      <c r="X73" s="289">
        <f>1000*C105*TableC3!M71/TableC3!$C$91</f>
        <v>16468.026442429862</v>
      </c>
    </row>
    <row r="74" spans="1:24" ht="14" hidden="1" customHeight="1" x14ac:dyDescent="0.35">
      <c r="B74" s="297" t="s">
        <v>103</v>
      </c>
      <c r="C74" s="308">
        <f>1000*C105*(TableC2!D72+TableC2!O72)/(TableC2!$D$100+TableC2!$O$100)</f>
        <v>0</v>
      </c>
      <c r="D74" s="293">
        <f>1000*C105*(TableC2!E72+TableC2!P72)/(TableC2!$D$100+TableC2!$O$100)</f>
        <v>0</v>
      </c>
      <c r="E74" s="292">
        <f>1000*C105*(TableC2!F72+TableC2!Q72)/(TableC2!$D$100+TableC2!$O$100)</f>
        <v>0</v>
      </c>
      <c r="F74" s="292">
        <f>1000*C105*(TableC2!G72+TableC2!R72)/(TableC2!$D$100+TableC2!$O$100)</f>
        <v>0</v>
      </c>
      <c r="G74" s="292">
        <f>1000*C105*(TableC2!H72+TableC2!S72)/(TableC2!$D$100+TableC2!$O$100)</f>
        <v>0</v>
      </c>
      <c r="H74" s="290">
        <f>1000*C105*(TableC2!I72+TableC2!T72)/(TableC2!$D$100+TableC2!$O$100)</f>
        <v>0</v>
      </c>
      <c r="I74" s="290">
        <f>1000*C105*(TableC2!J72+TableC2!U72)/(TableC2!$D$100+TableC2!$O$100)</f>
        <v>0</v>
      </c>
      <c r="J74" s="290">
        <f>1000*C105*(TableC2!K72+TableC2!V72)/(TableC2!$D$100+TableC2!$O$100)</f>
        <v>0</v>
      </c>
      <c r="K74" s="296">
        <f>1000*C105*(TableC2!L72+TableC2!W72)/(TableC2!$D$100+TableC2!$O$100)</f>
        <v>0</v>
      </c>
      <c r="L74" s="290">
        <f>1000*C105*(TableC2!M72+TableC2!X72)/(TableC2!$D$100+TableC2!$O$100)</f>
        <v>0</v>
      </c>
      <c r="M74" s="295">
        <f>1000*C105*(TableC2!N72+TableC2!Y72)/(TableC2!$D$100+TableC2!$O$100)</f>
        <v>0</v>
      </c>
      <c r="N74" s="294">
        <f>1000*C105*TableC3!C72/TableC3!$C$91</f>
        <v>73.826100997892652</v>
      </c>
      <c r="O74" s="293">
        <f>1000*C105*TableC3!D72/TableC3!$C$91</f>
        <v>2.4547455293757272</v>
      </c>
      <c r="P74" s="292">
        <f>1000*C105*TableC3!E72/TableC3!$C$91</f>
        <v>0</v>
      </c>
      <c r="Q74" s="292">
        <f>1000*C105*TableC3!F72/TableC3!$C$91</f>
        <v>2.2503221296673916</v>
      </c>
      <c r="R74" s="292">
        <f>1000*C105*TableC3!G72/TableC3!$C$91</f>
        <v>0</v>
      </c>
      <c r="S74" s="290">
        <f>1000*C105*TableC3!H72/TableC3!$C$91</f>
        <v>0</v>
      </c>
      <c r="T74" s="290">
        <f>1000*C105*TableC3!I72/TableC3!$C$91</f>
        <v>0.20442339970833553</v>
      </c>
      <c r="U74" s="290">
        <f>1000*C105*TableC3!J72/TableC3!$C$91</f>
        <v>0</v>
      </c>
      <c r="V74" s="296">
        <f>1000*C105*TableC3!K72/TableC3!$C$91</f>
        <v>71.371355468516924</v>
      </c>
      <c r="W74" s="290">
        <f>1000*C105*TableC3!L72/TableC3!$C$91</f>
        <v>0</v>
      </c>
      <c r="X74" s="289">
        <f>1000*C105*TableC3!M72/TableC3!$C$91</f>
        <v>71.371355468516924</v>
      </c>
    </row>
    <row r="75" spans="1:24" ht="14" hidden="1" customHeight="1" x14ac:dyDescent="0.35">
      <c r="B75" s="297" t="s">
        <v>104</v>
      </c>
      <c r="C75" s="308">
        <f>1000*C105*(TableC2!D73+TableC2!O73)/(TableC2!$D$100+TableC2!$O$100)</f>
        <v>0</v>
      </c>
      <c r="D75" s="293">
        <f>1000*C105*(TableC2!E73+TableC2!P73)/(TableC2!$D$100+TableC2!$O$100)</f>
        <v>0</v>
      </c>
      <c r="E75" s="292">
        <f>1000*C105*(TableC2!F73+TableC2!Q73)/(TableC2!$D$100+TableC2!$O$100)</f>
        <v>0</v>
      </c>
      <c r="F75" s="292">
        <f>1000*C105*(TableC2!G73+TableC2!R73)/(TableC2!$D$100+TableC2!$O$100)</f>
        <v>0</v>
      </c>
      <c r="G75" s="292">
        <f>1000*C105*(TableC2!H73+TableC2!S73)/(TableC2!$D$100+TableC2!$O$100)</f>
        <v>0</v>
      </c>
      <c r="H75" s="290">
        <f>1000*C105*(TableC2!I73+TableC2!T73)/(TableC2!$D$100+TableC2!$O$100)</f>
        <v>0</v>
      </c>
      <c r="I75" s="290">
        <f>1000*C105*(TableC2!J73+TableC2!U73)/(TableC2!$D$100+TableC2!$O$100)</f>
        <v>0</v>
      </c>
      <c r="J75" s="290">
        <f>1000*C105*(TableC2!K73+TableC2!V73)/(TableC2!$D$100+TableC2!$O$100)</f>
        <v>0</v>
      </c>
      <c r="K75" s="296">
        <f>1000*C105*(TableC2!L73+TableC2!W73)/(TableC2!$D$100+TableC2!$O$100)</f>
        <v>0</v>
      </c>
      <c r="L75" s="290">
        <f>1000*C105*(TableC2!M73+TableC2!X73)/(TableC2!$D$100+TableC2!$O$100)</f>
        <v>0</v>
      </c>
      <c r="M75" s="295">
        <f>1000*C105*(TableC2!N73+TableC2!Y73)/(TableC2!$D$100+TableC2!$O$100)</f>
        <v>0</v>
      </c>
      <c r="N75" s="294">
        <f>1000*C105*TableC3!C73/TableC3!$C$91</f>
        <v>103.80214308649852</v>
      </c>
      <c r="O75" s="293">
        <f>1000*C105*TableC3!D73/TableC3!$C$91</f>
        <v>55.887891472231232</v>
      </c>
      <c r="P75" s="292">
        <f>1000*C105*TableC3!E73/TableC3!$C$91</f>
        <v>45.33015063695315</v>
      </c>
      <c r="Q75" s="292">
        <f>1000*C105*TableC3!F73/TableC3!$C$91</f>
        <v>10.557740835278072</v>
      </c>
      <c r="R75" s="292">
        <f>1000*C105*TableC3!G73/TableC3!$C$91</f>
        <v>0</v>
      </c>
      <c r="S75" s="290">
        <f>1000*C105*TableC3!H73/TableC3!$C$91</f>
        <v>0</v>
      </c>
      <c r="T75" s="290">
        <f>1000*C105*TableC3!I73/TableC3!$C$91</f>
        <v>0</v>
      </c>
      <c r="U75" s="290">
        <f>1000*C105*TableC3!J73/TableC3!$C$91</f>
        <v>0</v>
      </c>
      <c r="V75" s="296">
        <f>1000*C105*TableC3!K73/TableC3!$C$91</f>
        <v>47.914251614267293</v>
      </c>
      <c r="W75" s="290">
        <f>1000*C105*TableC3!L73/TableC3!$C$91</f>
        <v>0</v>
      </c>
      <c r="X75" s="289">
        <f>1000*C105*TableC3!M73/TableC3!$C$91</f>
        <v>47.914251614267293</v>
      </c>
    </row>
    <row r="76" spans="1:24" ht="14" hidden="1" customHeight="1" x14ac:dyDescent="0.35">
      <c r="B76" s="297" t="s">
        <v>105</v>
      </c>
      <c r="C76" s="308">
        <f>1000*C105*(TableC2!D74+TableC2!O74)/(TableC2!$D$100+TableC2!$O$100)</f>
        <v>0</v>
      </c>
      <c r="D76" s="293">
        <f>1000*C105*(TableC2!E74+TableC2!P74)/(TableC2!$D$100+TableC2!$O$100)</f>
        <v>0</v>
      </c>
      <c r="E76" s="292">
        <f>1000*C105*(TableC2!F74+TableC2!Q74)/(TableC2!$D$100+TableC2!$O$100)</f>
        <v>0</v>
      </c>
      <c r="F76" s="292">
        <f>1000*C105*(TableC2!G74+TableC2!R74)/(TableC2!$D$100+TableC2!$O$100)</f>
        <v>0</v>
      </c>
      <c r="G76" s="292">
        <f>1000*C105*(TableC2!H74+TableC2!S74)/(TableC2!$D$100+TableC2!$O$100)</f>
        <v>0</v>
      </c>
      <c r="H76" s="290">
        <f>1000*C105*(TableC2!I74+TableC2!T74)/(TableC2!$D$100+TableC2!$O$100)</f>
        <v>0</v>
      </c>
      <c r="I76" s="290">
        <f>1000*C105*(TableC2!J74+TableC2!U74)/(TableC2!$D$100+TableC2!$O$100)</f>
        <v>0</v>
      </c>
      <c r="J76" s="290">
        <f>1000*C105*(TableC2!K74+TableC2!V74)/(TableC2!$D$100+TableC2!$O$100)</f>
        <v>0</v>
      </c>
      <c r="K76" s="296">
        <f>1000*C105*(TableC2!L74+TableC2!W74)/(TableC2!$D$100+TableC2!$O$100)</f>
        <v>0</v>
      </c>
      <c r="L76" s="290">
        <f>1000*C105*(TableC2!M74+TableC2!X74)/(TableC2!$D$100+TableC2!$O$100)</f>
        <v>0</v>
      </c>
      <c r="M76" s="295">
        <f>1000*C105*(TableC2!N74+TableC2!Y74)/(TableC2!$D$100+TableC2!$O$100)</f>
        <v>0</v>
      </c>
      <c r="N76" s="294">
        <f>1000*C105*TableC3!C74/TableC3!$C$91</f>
        <v>463.73380264616787</v>
      </c>
      <c r="O76" s="293">
        <f>1000*C105*TableC3!D74/TableC3!$C$91</f>
        <v>287.66184433143417</v>
      </c>
      <c r="P76" s="292">
        <f>1000*C105*TableC3!E74/TableC3!$C$91</f>
        <v>0</v>
      </c>
      <c r="Q76" s="292">
        <f>1000*C105*TableC3!F74/TableC3!$C$91</f>
        <v>0</v>
      </c>
      <c r="R76" s="292">
        <f>1000*C105*TableC3!G74/TableC3!$C$91</f>
        <v>0</v>
      </c>
      <c r="S76" s="290">
        <f>1000*C105*TableC3!H74/TableC3!$C$91</f>
        <v>287.66184433143417</v>
      </c>
      <c r="T76" s="290">
        <f>1000*C105*TableC3!I74/TableC3!$C$91</f>
        <v>0</v>
      </c>
      <c r="U76" s="290">
        <f>1000*C105*TableC3!J74/TableC3!$C$91</f>
        <v>0</v>
      </c>
      <c r="V76" s="296">
        <f>1000*C105*TableC3!K74/TableC3!$C$91</f>
        <v>176.07195831473371</v>
      </c>
      <c r="W76" s="290">
        <f>1000*C105*TableC3!L74/TableC3!$C$91</f>
        <v>0</v>
      </c>
      <c r="X76" s="289">
        <f>1000*C105*TableC3!M74/TableC3!$C$91</f>
        <v>176.07195831473371</v>
      </c>
    </row>
    <row r="77" spans="1:24" ht="14" hidden="1" customHeight="1" x14ac:dyDescent="0.35">
      <c r="A77" s="343" t="s">
        <v>106</v>
      </c>
      <c r="B77" s="297" t="s">
        <v>108</v>
      </c>
      <c r="C77" s="308">
        <f>1000*C105*(TableC2!D75+TableC2!O75)/(TableC2!$D$100+TableC2!$O$100)</f>
        <v>0</v>
      </c>
      <c r="D77" s="293">
        <f>1000*C105*(TableC2!E75+TableC2!P75)/(TableC2!$D$100+TableC2!$O$100)</f>
        <v>0</v>
      </c>
      <c r="E77" s="292">
        <f>1000*C105*(TableC2!F75+TableC2!Q75)/(TableC2!$D$100+TableC2!$O$100)</f>
        <v>0</v>
      </c>
      <c r="F77" s="292">
        <f>1000*C105*(TableC2!G75+TableC2!R75)/(TableC2!$D$100+TableC2!$O$100)</f>
        <v>0</v>
      </c>
      <c r="G77" s="292">
        <f>1000*C105*(TableC2!H75+TableC2!S75)/(TableC2!$D$100+TableC2!$O$100)</f>
        <v>0</v>
      </c>
      <c r="H77" s="290">
        <f>1000*C105*(TableC2!I75+TableC2!T75)/(TableC2!$D$100+TableC2!$O$100)</f>
        <v>0</v>
      </c>
      <c r="I77" s="290">
        <f>1000*C105*(TableC2!J75+TableC2!U75)/(TableC2!$D$100+TableC2!$O$100)</f>
        <v>0</v>
      </c>
      <c r="J77" s="290">
        <f>1000*C105*(TableC2!K75+TableC2!V75)/(TableC2!$D$100+TableC2!$O$100)</f>
        <v>0</v>
      </c>
      <c r="K77" s="296">
        <f>1000*C105*(TableC2!L75+TableC2!W75)/(TableC2!$D$100+TableC2!$O$100)</f>
        <v>0</v>
      </c>
      <c r="L77" s="290">
        <f>1000*C105*(TableC2!M75+TableC2!X75)/(TableC2!$D$100+TableC2!$O$100)</f>
        <v>0</v>
      </c>
      <c r="M77" s="295">
        <f>1000*C105*(TableC2!N75+TableC2!Y75)/(TableC2!$D$100+TableC2!$O$100)</f>
        <v>0</v>
      </c>
      <c r="N77" s="294">
        <f>1000*C105*TableC3!C75/TableC3!$C$91</f>
        <v>1277.855166485652</v>
      </c>
      <c r="O77" s="293">
        <f>1000*C105*TableC3!D75/TableC3!$C$91</f>
        <v>0.21444572508207502</v>
      </c>
      <c r="P77" s="292">
        <f>1000*C105*TableC3!E75/TableC3!$C$91</f>
        <v>0</v>
      </c>
      <c r="Q77" s="292">
        <f>1000*C105*TableC3!F75/TableC3!$C$91</f>
        <v>0.21444572508207502</v>
      </c>
      <c r="R77" s="292">
        <f>1000*C105*TableC3!G75/TableC3!$C$91</f>
        <v>0</v>
      </c>
      <c r="S77" s="290">
        <f>1000*C105*TableC3!H75/TableC3!$C$91</f>
        <v>0</v>
      </c>
      <c r="T77" s="290">
        <f>1000*C105*TableC3!I75/TableC3!$C$91</f>
        <v>0</v>
      </c>
      <c r="U77" s="290">
        <f>1000*C105*TableC3!J75/TableC3!$C$91</f>
        <v>0</v>
      </c>
      <c r="V77" s="296">
        <f>1000*C105*TableC3!K75/TableC3!$C$91</f>
        <v>1277.6407207605698</v>
      </c>
      <c r="W77" s="290">
        <f>1000*C105*TableC3!L75/TableC3!$C$91</f>
        <v>0</v>
      </c>
      <c r="X77" s="289">
        <f>1000*C105*TableC3!M75/TableC3!$C$91</f>
        <v>1277.6407207605698</v>
      </c>
    </row>
    <row r="78" spans="1:24" ht="14" hidden="1" customHeight="1" x14ac:dyDescent="0.35">
      <c r="B78" s="297" t="s">
        <v>109</v>
      </c>
      <c r="C78" s="308">
        <f>1000*C105*(TableC2!D76+TableC2!O76)/(TableC2!$D$100+TableC2!$O$100)</f>
        <v>0</v>
      </c>
      <c r="D78" s="293">
        <f>1000*C105*(TableC2!E76+TableC2!P76)/(TableC2!$D$100+TableC2!$O$100)</f>
        <v>0</v>
      </c>
      <c r="E78" s="292">
        <f>1000*C105*(TableC2!F76+TableC2!Q76)/(TableC2!$D$100+TableC2!$O$100)</f>
        <v>0</v>
      </c>
      <c r="F78" s="292">
        <f>1000*C105*(TableC2!G76+TableC2!R76)/(TableC2!$D$100+TableC2!$O$100)</f>
        <v>0</v>
      </c>
      <c r="G78" s="292">
        <f>1000*C105*(TableC2!H76+TableC2!S76)/(TableC2!$D$100+TableC2!$O$100)</f>
        <v>0</v>
      </c>
      <c r="H78" s="290">
        <f>1000*C105*(TableC2!I76+TableC2!T76)/(TableC2!$D$100+TableC2!$O$100)</f>
        <v>0</v>
      </c>
      <c r="I78" s="290">
        <f>1000*C105*(TableC2!J76+TableC2!U76)/(TableC2!$D$100+TableC2!$O$100)</f>
        <v>0</v>
      </c>
      <c r="J78" s="290">
        <f>1000*C105*(TableC2!K76+TableC2!V76)/(TableC2!$D$100+TableC2!$O$100)</f>
        <v>0</v>
      </c>
      <c r="K78" s="296">
        <f>1000*C105*(TableC2!L76+TableC2!W76)/(TableC2!$D$100+TableC2!$O$100)</f>
        <v>0</v>
      </c>
      <c r="L78" s="290">
        <f>1000*C105*(TableC2!M76+TableC2!X76)/(TableC2!$D$100+TableC2!$O$100)</f>
        <v>130.90560834307968</v>
      </c>
      <c r="M78" s="299">
        <f>1000*C105*(TableC2!N76+TableC2!Y76)/(TableC2!$D$100+TableC2!$O$100)</f>
        <v>0</v>
      </c>
      <c r="N78" s="294">
        <f>1000*C105*TableC3!C76/TableC3!$C$91</f>
        <v>1008.3212463031791</v>
      </c>
      <c r="O78" s="293">
        <f>1000*C105*TableC3!D76/TableC3!$C$91</f>
        <v>1004.9583936686939</v>
      </c>
      <c r="P78" s="292">
        <f>1000*C105*TableC3!E76/TableC3!$C$91</f>
        <v>198.91266302707203</v>
      </c>
      <c r="Q78" s="292">
        <f>1000*C105*TableC3!F76/TableC3!$C$91</f>
        <v>2.9140638355771607E-2</v>
      </c>
      <c r="R78" s="292">
        <f>1000*C105*TableC3!G76/TableC3!$C$91</f>
        <v>102.24133733145591</v>
      </c>
      <c r="S78" s="290">
        <f>1000*C105*TableC3!H76/TableC3!$C$91</f>
        <v>155.42792026795351</v>
      </c>
      <c r="T78" s="290">
        <f>1000*C105*TableC3!I76/TableC3!$C$91</f>
        <v>548.34733240385674</v>
      </c>
      <c r="U78" s="290">
        <f>1000*C105*TableC3!J76/TableC3!$C$91</f>
        <v>0</v>
      </c>
      <c r="V78" s="296">
        <f>1000*C105*TableC3!K76/TableC3!$C$91</f>
        <v>3.3628526344850416</v>
      </c>
      <c r="W78" s="290">
        <f>1000*C105*TableC3!L76/TableC3!$C$91</f>
        <v>0</v>
      </c>
      <c r="X78" s="298">
        <f>1000*C105*TableC3!M76/TableC3!$C$91</f>
        <v>3.3628526344850416</v>
      </c>
    </row>
    <row r="79" spans="1:24" ht="14" hidden="1" customHeight="1" x14ac:dyDescent="0.35">
      <c r="A79" s="343" t="s">
        <v>111</v>
      </c>
      <c r="B79" s="297" t="s">
        <v>110</v>
      </c>
      <c r="C79" s="308">
        <f>1000*C105*(TableC2!D77+TableC2!O77)/(TableC2!$D$100+TableC2!$O$100)</f>
        <v>0</v>
      </c>
      <c r="D79" s="293">
        <f>1000*C105*(TableC2!E77+TableC2!P77)/(TableC2!$D$100+TableC2!$O$100)</f>
        <v>0</v>
      </c>
      <c r="E79" s="292">
        <f>1000*C105*(TableC2!F77+TableC2!Q77)/(TableC2!$D$100+TableC2!$O$100)</f>
        <v>0</v>
      </c>
      <c r="F79" s="292">
        <f>1000*C105*(TableC2!G77+TableC2!R77)/(TableC2!$D$100+TableC2!$O$100)</f>
        <v>0</v>
      </c>
      <c r="G79" s="292">
        <f>1000*C105*(TableC2!H77+TableC2!S77)/(TableC2!$D$100+TableC2!$O$100)</f>
        <v>0</v>
      </c>
      <c r="H79" s="290">
        <f>1000*C105*(TableC2!I77+TableC2!T77)/(TableC2!$D$100+TableC2!$O$100)</f>
        <v>0</v>
      </c>
      <c r="I79" s="290">
        <f>1000*C105*(TableC2!J77+TableC2!U77)/(TableC2!$D$100+TableC2!$O$100)</f>
        <v>0</v>
      </c>
      <c r="J79" s="290">
        <f>1000*C105*(TableC2!K77+TableC2!V77)/(TableC2!$D$100+TableC2!$O$100)</f>
        <v>0</v>
      </c>
      <c r="K79" s="296">
        <f>1000*C105*(TableC2!L77+TableC2!W77)/(TableC2!$D$100+TableC2!$O$100)</f>
        <v>0</v>
      </c>
      <c r="L79" s="290">
        <f>1000*C105*(TableC2!M77+TableC2!X77)/(TableC2!$D$100+TableC2!$O$100)</f>
        <v>0</v>
      </c>
      <c r="M79" s="295">
        <f>1000*C105*(TableC2!N77+TableC2!Y77)/(TableC2!$D$100+TableC2!$O$100)</f>
        <v>0</v>
      </c>
      <c r="N79" s="294">
        <f>1000*C105*TableC3!C77/TableC3!$C$91</f>
        <v>512.99491587271518</v>
      </c>
      <c r="O79" s="293">
        <f>1000*C105*TableC3!D77/TableC3!$C$91</f>
        <v>154.45256106450856</v>
      </c>
      <c r="P79" s="292">
        <f>1000*C105*TableC3!E77/TableC3!$C$91</f>
        <v>154.58743678755872</v>
      </c>
      <c r="Q79" s="292">
        <f>1000*C105*TableC3!F77/TableC3!$C$91</f>
        <v>-0.13487572305014589</v>
      </c>
      <c r="R79" s="292">
        <f>1000*C105*TableC3!G77/TableC3!$C$91</f>
        <v>0</v>
      </c>
      <c r="S79" s="290">
        <f>1000*C105*TableC3!H77/TableC3!$C$91</f>
        <v>0</v>
      </c>
      <c r="T79" s="290">
        <f>1000*C105*TableC3!I77/TableC3!$C$91</f>
        <v>0</v>
      </c>
      <c r="U79" s="290">
        <f>1000*C105*TableC3!J77/TableC3!$C$91</f>
        <v>0</v>
      </c>
      <c r="V79" s="296">
        <f>1000*C105*TableC3!K77/TableC3!$C$91</f>
        <v>358.5423548082066</v>
      </c>
      <c r="W79" s="290">
        <f>1000*C105*TableC3!L77/TableC3!$C$91</f>
        <v>0</v>
      </c>
      <c r="X79" s="289">
        <f>1000*C105*TableC3!M77/TableC3!$C$91</f>
        <v>358.5423548082066</v>
      </c>
    </row>
    <row r="80" spans="1:24" ht="14" hidden="1" customHeight="1" x14ac:dyDescent="0.35">
      <c r="B80" s="297" t="str">
        <f>+[3]TableA1!A79</f>
        <v>Monaco</v>
      </c>
      <c r="C80" s="308">
        <f>1000*C105*(TableC2!D78+TableC2!O78)/(TableC2!$D$100+TableC2!$O$100)</f>
        <v>0</v>
      </c>
      <c r="D80" s="293">
        <f>1000*C105*(TableC2!E78+TableC2!P78)/(TableC2!$D$100+TableC2!$O$100)</f>
        <v>0</v>
      </c>
      <c r="E80" s="292">
        <f>1000*C105*(TableC2!F78+TableC2!Q78)/(TableC2!$D$100+TableC2!$O$100)</f>
        <v>0</v>
      </c>
      <c r="F80" s="292">
        <f>1000*C105*(TableC2!G78+TableC2!R78)/(TableC2!$D$100+TableC2!$O$100)</f>
        <v>0</v>
      </c>
      <c r="G80" s="292">
        <f>1000*C105*(TableC2!H78+TableC2!S78)/(TableC2!$D$100+TableC2!$O$100)</f>
        <v>0</v>
      </c>
      <c r="H80" s="290">
        <f>1000*C105*(TableC2!I78+TableC2!T78)/(TableC2!$D$100+TableC2!$O$100)</f>
        <v>0</v>
      </c>
      <c r="I80" s="290">
        <f>1000*C105*(TableC2!J78+TableC2!U78)/(TableC2!$D$100+TableC2!$O$100)</f>
        <v>0</v>
      </c>
      <c r="J80" s="290">
        <f>1000*C105*(TableC2!K78+TableC2!V78)/(TableC2!$D$100+TableC2!$O$100)</f>
        <v>0</v>
      </c>
      <c r="K80" s="296">
        <f>1000*C105*(TableC2!L78+TableC2!W78)/(TableC2!$D$100+TableC2!$O$100)</f>
        <v>0</v>
      </c>
      <c r="L80" s="290">
        <f>1000*C105*(TableC2!M78+TableC2!X78)/(TableC2!$D$100+TableC2!$O$100)</f>
        <v>0</v>
      </c>
      <c r="M80" s="295">
        <f>1000*C105*(TableC2!N78+TableC2!Y78)/(TableC2!$D$100+TableC2!$O$100)</f>
        <v>0</v>
      </c>
      <c r="N80" s="294">
        <f>1000*C105*TableC3!C78/TableC3!$C$91</f>
        <v>1.0536514342155499</v>
      </c>
      <c r="O80" s="293">
        <f>1000*C105*TableC3!D78/TableC3!$C$91</f>
        <v>0</v>
      </c>
      <c r="P80" s="292">
        <f>1000*C105*TableC3!E78/TableC3!$C$91</f>
        <v>0</v>
      </c>
      <c r="Q80" s="292">
        <f>1000*C105*TableC3!F78/TableC3!$C$91</f>
        <v>0</v>
      </c>
      <c r="R80" s="292">
        <f>1000*C105*TableC3!G78/TableC3!$C$91</f>
        <v>0</v>
      </c>
      <c r="S80" s="290">
        <f>1000*C105*TableC3!H78/TableC3!$C$91</f>
        <v>0</v>
      </c>
      <c r="T80" s="290">
        <f>1000*C105*TableC3!I78/TableC3!$C$91</f>
        <v>0</v>
      </c>
      <c r="U80" s="290">
        <f>1000*C105*TableC3!J78/TableC3!$C$91</f>
        <v>0</v>
      </c>
      <c r="V80" s="296">
        <f>1000*C105*TableC3!K78/TableC3!$C$91</f>
        <v>1.0536514342155499</v>
      </c>
      <c r="W80" s="290">
        <f>1000*C105*TableC3!L78/TableC3!$C$91</f>
        <v>0</v>
      </c>
      <c r="X80" s="289">
        <f>1000*C105*TableC3!M78/TableC3!$C$91</f>
        <v>1.0536514342155499</v>
      </c>
    </row>
    <row r="81" spans="1:24" ht="14" hidden="1" customHeight="1" x14ac:dyDescent="0.35">
      <c r="B81" s="297" t="s">
        <v>113</v>
      </c>
      <c r="C81" s="308">
        <f>1000*C105*(TableC2!D79+TableC2!O79)/(TableC2!$D$100+TableC2!$O$100)</f>
        <v>0</v>
      </c>
      <c r="D81" s="293">
        <f>1000*C105*(TableC2!E79+TableC2!P79)/(TableC2!$D$100+TableC2!$O$100)</f>
        <v>0</v>
      </c>
      <c r="E81" s="292">
        <f>1000*C105*(TableC2!F79+TableC2!Q79)/(TableC2!$D$100+TableC2!$O$100)</f>
        <v>0</v>
      </c>
      <c r="F81" s="292">
        <f>1000*C105*(TableC2!G79+TableC2!R79)/(TableC2!$D$100+TableC2!$O$100)</f>
        <v>0</v>
      </c>
      <c r="G81" s="292">
        <f>1000*C105*(TableC2!H79+TableC2!S79)/(TableC2!$D$100+TableC2!$O$100)</f>
        <v>0</v>
      </c>
      <c r="H81" s="290">
        <f>1000*C105*(TableC2!I79+TableC2!T79)/(TableC2!$D$100+TableC2!$O$100)</f>
        <v>0</v>
      </c>
      <c r="I81" s="290">
        <f>1000*C105*(TableC2!J79+TableC2!U79)/(TableC2!$D$100+TableC2!$O$100)</f>
        <v>0</v>
      </c>
      <c r="J81" s="290">
        <f>1000*C105*(TableC2!K79+TableC2!V79)/(TableC2!$D$100+TableC2!$O$100)</f>
        <v>0</v>
      </c>
      <c r="K81" s="296">
        <f>1000*C105*(TableC2!L79+TableC2!W79)/(TableC2!$D$100+TableC2!$O$100)</f>
        <v>0</v>
      </c>
      <c r="L81" s="290">
        <f>1000*C105*(TableC2!M79+TableC2!X79)/(TableC2!$D$100+TableC2!$O$100)</f>
        <v>0</v>
      </c>
      <c r="M81" s="295">
        <f>1000*C105*(TableC2!N79+TableC2!Y79)/(TableC2!$D$100+TableC2!$O$100)</f>
        <v>0</v>
      </c>
      <c r="N81" s="294">
        <f>1000*C105*TableC3!C79/TableC3!$C$91</f>
        <v>15.219889795235479</v>
      </c>
      <c r="O81" s="293">
        <f>1000*C105*TableC3!D79/TableC3!$C$91</f>
        <v>0</v>
      </c>
      <c r="P81" s="292">
        <f>1000*C105*TableC3!E79/TableC3!$C$91</f>
        <v>0</v>
      </c>
      <c r="Q81" s="292">
        <f>1000*C105*TableC3!F79/TableC3!$C$91</f>
        <v>0</v>
      </c>
      <c r="R81" s="292">
        <f>1000*C105*TableC3!G79/TableC3!$C$91</f>
        <v>0</v>
      </c>
      <c r="S81" s="290">
        <f>1000*C105*TableC3!H79/TableC3!$C$91</f>
        <v>0</v>
      </c>
      <c r="T81" s="290">
        <f>1000*C105*TableC3!I79/TableC3!$C$91</f>
        <v>0</v>
      </c>
      <c r="U81" s="290">
        <f>1000*C105*TableC3!J79/TableC3!$C$91</f>
        <v>0</v>
      </c>
      <c r="V81" s="296">
        <f>1000*C105*TableC3!K79/TableC3!$C$91</f>
        <v>15.219889795235479</v>
      </c>
      <c r="W81" s="290">
        <f>1000*C105*TableC3!L79/TableC3!$C$91</f>
        <v>0</v>
      </c>
      <c r="X81" s="289">
        <f>1000*C105*TableC3!M79/TableC3!$C$91</f>
        <v>15.219889795235479</v>
      </c>
    </row>
    <row r="82" spans="1:24" ht="14" hidden="1" customHeight="1" x14ac:dyDescent="0.35">
      <c r="B82" s="297" t="s">
        <v>114</v>
      </c>
      <c r="C82" s="308">
        <f>1000*C105*(TableC2!D80+TableC2!O80)/(TableC2!$D$100+TableC2!$O$100)</f>
        <v>0</v>
      </c>
      <c r="D82" s="293">
        <f>1000*C105*(TableC2!E80+TableC2!P80)/(TableC2!$D$100+TableC2!$O$100)</f>
        <v>0</v>
      </c>
      <c r="E82" s="292">
        <f>1000*C105*(TableC2!F80+TableC2!Q80)/(TableC2!$D$100+TableC2!$O$100)</f>
        <v>0</v>
      </c>
      <c r="F82" s="292">
        <f>1000*C105*(TableC2!G80+TableC2!R80)/(TableC2!$D$100+TableC2!$O$100)</f>
        <v>0</v>
      </c>
      <c r="G82" s="292">
        <f>1000*C105*(TableC2!H80+TableC2!S80)/(TableC2!$D$100+TableC2!$O$100)</f>
        <v>0</v>
      </c>
      <c r="H82" s="290">
        <f>1000*C105*(TableC2!I80+TableC2!T80)/(TableC2!$D$100+TableC2!$O$100)</f>
        <v>0</v>
      </c>
      <c r="I82" s="290">
        <f>1000*C105*(TableC2!J80+TableC2!U80)/(TableC2!$D$100+TableC2!$O$100)</f>
        <v>0</v>
      </c>
      <c r="J82" s="290">
        <f>1000*C105*(TableC2!K80+TableC2!V80)/(TableC2!$D$100+TableC2!$O$100)</f>
        <v>0</v>
      </c>
      <c r="K82" s="296">
        <f>1000*C105*(TableC2!L80+TableC2!W80)/(TableC2!$D$100+TableC2!$O$100)</f>
        <v>0</v>
      </c>
      <c r="L82" s="290">
        <f>1000*C105*(TableC2!M80+TableC2!X80)/(TableC2!$D$100+TableC2!$O$100)</f>
        <v>0</v>
      </c>
      <c r="M82" s="295">
        <f>1000*C105*(TableC2!N80+TableC2!Y80)/(TableC2!$D$100+TableC2!$O$100)</f>
        <v>0</v>
      </c>
      <c r="N82" s="294">
        <f>1000*C105*TableC3!C80/TableC3!$C$91</f>
        <v>1510.2176007963858</v>
      </c>
      <c r="O82" s="293">
        <f>1000*C105*TableC3!D80/TableC3!$C$91</f>
        <v>2.904265973910805</v>
      </c>
      <c r="P82" s="292">
        <f>1000*C105*TableC3!E80/TableC3!$C$91</f>
        <v>-0.38356281308191459</v>
      </c>
      <c r="Q82" s="292">
        <f>1000*C105*TableC3!F80/TableC3!$C$91</f>
        <v>3.2878287869927192</v>
      </c>
      <c r="R82" s="292">
        <f>1000*C105*TableC3!G80/TableC3!$C$91</f>
        <v>0</v>
      </c>
      <c r="S82" s="290">
        <f>1000*C105*TableC3!H80/TableC3!$C$91</f>
        <v>0</v>
      </c>
      <c r="T82" s="290">
        <f>1000*C105*TableC3!I80/TableC3!$C$91</f>
        <v>0</v>
      </c>
      <c r="U82" s="290">
        <f>1000*C105*TableC3!J80/TableC3!$C$91</f>
        <v>0</v>
      </c>
      <c r="V82" s="296">
        <f>1000*C105*TableC3!K80/TableC3!$C$91</f>
        <v>1507.3133348224751</v>
      </c>
      <c r="W82" s="290">
        <f>1000*C105*TableC3!L80/TableC3!$C$91</f>
        <v>0</v>
      </c>
      <c r="X82" s="289">
        <f>1000*C105*TableC3!M80/TableC3!$C$91</f>
        <v>1507.3133348224751</v>
      </c>
    </row>
    <row r="83" spans="1:24" ht="14" hidden="1" customHeight="1" x14ac:dyDescent="0.35">
      <c r="B83" s="297" t="str">
        <f>+[3]TableA1!A82</f>
        <v>Seychelles</v>
      </c>
      <c r="C83" s="308">
        <f>1000*C105*(TableC2!D81+TableC2!O81)/(TableC2!$D$100+TableC2!$O$100)</f>
        <v>0</v>
      </c>
      <c r="D83" s="293">
        <f>1000*C105*(TableC2!E81+TableC2!P81)/(TableC2!$D$100+TableC2!$O$100)</f>
        <v>0</v>
      </c>
      <c r="E83" s="292">
        <f>1000*C105*(TableC2!F81+TableC2!Q81)/(TableC2!$D$100+TableC2!$O$100)</f>
        <v>0</v>
      </c>
      <c r="F83" s="292">
        <f>1000*C105*(TableC2!G81+TableC2!R81)/(TableC2!$D$100+TableC2!$O$100)</f>
        <v>0</v>
      </c>
      <c r="G83" s="292">
        <f>1000*C105*(TableC2!H81+TableC2!S81)/(TableC2!$D$100+TableC2!$O$100)</f>
        <v>0</v>
      </c>
      <c r="H83" s="290">
        <f>1000*C105*(TableC2!I81+TableC2!T81)/(TableC2!$D$100+TableC2!$O$100)</f>
        <v>0</v>
      </c>
      <c r="I83" s="290">
        <f>1000*C105*(TableC2!J81+TableC2!U81)/(TableC2!$D$100+TableC2!$O$100)</f>
        <v>0</v>
      </c>
      <c r="J83" s="290">
        <f>1000*C105*(TableC2!K81+TableC2!V81)/(TableC2!$D$100+TableC2!$O$100)</f>
        <v>0</v>
      </c>
      <c r="K83" s="296">
        <f>1000*C105*(TableC2!L81+TableC2!W81)/(TableC2!$D$100+TableC2!$O$100)</f>
        <v>0</v>
      </c>
      <c r="L83" s="290">
        <f>1000*C105*(TableC2!M81+TableC2!X81)/(TableC2!$D$100+TableC2!$O$100)</f>
        <v>0</v>
      </c>
      <c r="M83" s="295">
        <f>1000*C105*(TableC2!N81+TableC2!Y81)/(TableC2!$D$100+TableC2!$O$100)</f>
        <v>0</v>
      </c>
      <c r="N83" s="294">
        <f>1000*C105*TableC3!C81/TableC3!$C$91</f>
        <v>71.551373125958989</v>
      </c>
      <c r="O83" s="293">
        <f>1000*C105*TableC3!D81/TableC3!$C$91</f>
        <v>0.13536198460395862</v>
      </c>
      <c r="P83" s="292">
        <f>1000*C105*TableC3!E81/TableC3!$C$91</f>
        <v>0</v>
      </c>
      <c r="Q83" s="292">
        <f>1000*C105*TableC3!F81/TableC3!$C$91</f>
        <v>0.13536198460395862</v>
      </c>
      <c r="R83" s="292">
        <f>1000*C105*TableC3!G81/TableC3!$C$91</f>
        <v>0</v>
      </c>
      <c r="S83" s="290">
        <f>1000*C105*TableC3!H81/TableC3!$C$91</f>
        <v>0</v>
      </c>
      <c r="T83" s="290">
        <f>1000*C105*TableC3!I81/TableC3!$C$91</f>
        <v>0</v>
      </c>
      <c r="U83" s="290">
        <f>1000*C105*TableC3!J81/TableC3!$C$91</f>
        <v>0</v>
      </c>
      <c r="V83" s="296">
        <f>1000*C105*TableC3!K81/TableC3!$C$91</f>
        <v>71.416011141355028</v>
      </c>
      <c r="W83" s="290">
        <f>1000*C105*TableC3!L81/TableC3!$C$91</f>
        <v>0</v>
      </c>
      <c r="X83" s="289">
        <f>1000*C105*TableC3!M81/TableC3!$C$91</f>
        <v>71.416011141355028</v>
      </c>
    </row>
    <row r="84" spans="1:24" hidden="1" x14ac:dyDescent="0.35">
      <c r="B84" s="297" t="s">
        <v>116</v>
      </c>
      <c r="C84" s="308">
        <f>1000*C105*(TableC2!D82+TableC2!O82)/(TableC2!$D$100+TableC2!$O$100)</f>
        <v>0</v>
      </c>
      <c r="D84" s="293">
        <f>1000*C105*(TableC2!E82+TableC2!P82)/(TableC2!$D$100+TableC2!$O$100)</f>
        <v>0</v>
      </c>
      <c r="E84" s="292">
        <f>1000*C105*(TableC2!F82+TableC2!Q82)/(TableC2!$D$100+TableC2!$O$100)</f>
        <v>0</v>
      </c>
      <c r="F84" s="292">
        <f>1000*C105*(TableC2!G82+TableC2!R82)/(TableC2!$D$100+TableC2!$O$100)</f>
        <v>0</v>
      </c>
      <c r="G84" s="292">
        <f>1000*C105*(TableC2!H82+TableC2!S82)/(TableC2!$D$100+TableC2!$O$100)</f>
        <v>0</v>
      </c>
      <c r="H84" s="290">
        <f>1000*C105*(TableC2!I82+TableC2!T82)/(TableC2!$D$100+TableC2!$O$100)</f>
        <v>0</v>
      </c>
      <c r="I84" s="290">
        <f>1000*C105*(TableC2!J82+TableC2!U82)/(TableC2!$D$100+TableC2!$O$100)</f>
        <v>0</v>
      </c>
      <c r="J84" s="290">
        <f>1000*C105*(TableC2!K82+TableC2!V82)/(TableC2!$D$100+TableC2!$O$100)</f>
        <v>0</v>
      </c>
      <c r="K84" s="296">
        <f>1000*C105*(TableC2!L82+TableC2!W82)/(TableC2!$D$100+TableC2!$O$100)</f>
        <v>0</v>
      </c>
      <c r="L84" s="290">
        <f>1000*C105*(TableC2!M82+TableC2!X82)/(TableC2!$D$100+TableC2!$O$100)</f>
        <v>1179.9414159820469</v>
      </c>
      <c r="M84" s="295">
        <f>1000*C105*(TableC2!N82+TableC2!Y82)/(TableC2!$D$100+TableC2!$O$100)</f>
        <v>0</v>
      </c>
      <c r="N84" s="294">
        <f>1000*C105*TableC3!C82/TableC3!$C$91</f>
        <v>14517.264938743947</v>
      </c>
      <c r="O84" s="293">
        <f>1000*C105*TableC3!D82/TableC3!$C$91</f>
        <v>1445.3267390579358</v>
      </c>
      <c r="P84" s="292">
        <f>1000*C105*TableC3!E82/TableC3!$C$91</f>
        <v>-174.92788899644765</v>
      </c>
      <c r="Q84" s="292">
        <f>1000*C105*TableC3!F82/TableC3!$C$91</f>
        <v>0.84813696474582956</v>
      </c>
      <c r="R84" s="292">
        <f>1000*C105*TableC3!G82/TableC3!$C$91</f>
        <v>0</v>
      </c>
      <c r="S84" s="290">
        <f>1000*C105*TableC3!H82/TableC3!$C$91</f>
        <v>526.0418447623432</v>
      </c>
      <c r="T84" s="290">
        <f>1000*C105*TableC3!I82/TableC3!$C$91</f>
        <v>0</v>
      </c>
      <c r="U84" s="290">
        <f>1000*C105*TableC3!J82/TableC3!$C$91</f>
        <v>1093.3646463272944</v>
      </c>
      <c r="V84" s="296">
        <f>1000*C105*TableC3!K82/TableC3!$C$91</f>
        <v>13071.93819968601</v>
      </c>
      <c r="W84" s="290">
        <f>1000*C105*TableC3!L82/TableC3!$C$91</f>
        <v>0</v>
      </c>
      <c r="X84" s="289">
        <f>1000*C105*TableC3!M82/TableC3!$C$91</f>
        <v>13071.93819968601</v>
      </c>
    </row>
    <row r="85" spans="1:24" hidden="1" x14ac:dyDescent="0.35">
      <c r="B85" s="297" t="str">
        <f>+[3]TableA1!A84</f>
        <v>St. Kitts and Nevis</v>
      </c>
      <c r="C85" s="308">
        <f>1000*C105*(TableC2!D83+TableC2!O83)/(TableC2!$D$100+TableC2!$O$100)</f>
        <v>0</v>
      </c>
      <c r="D85" s="293">
        <f>1000*C105*(TableC2!E83+TableC2!P83)/(TableC2!$D$100+TableC2!$O$100)</f>
        <v>0</v>
      </c>
      <c r="E85" s="292">
        <f>1000*C105*(TableC2!F83+TableC2!Q83)/(TableC2!$D$100+TableC2!$O$100)</f>
        <v>0</v>
      </c>
      <c r="F85" s="292">
        <f>1000*C105*(TableC2!G83+TableC2!R83)/(TableC2!$D$100+TableC2!$O$100)</f>
        <v>0</v>
      </c>
      <c r="G85" s="292">
        <f>1000*C105*(TableC2!H83+TableC2!S83)/(TableC2!$D$100+TableC2!$O$100)</f>
        <v>0</v>
      </c>
      <c r="H85" s="290">
        <f>1000*C105*(TableC2!I83+TableC2!T83)/(TableC2!$D$100+TableC2!$O$100)</f>
        <v>0</v>
      </c>
      <c r="I85" s="290">
        <f>1000*C105*(TableC2!J83+TableC2!U83)/(TableC2!$D$100+TableC2!$O$100)</f>
        <v>0</v>
      </c>
      <c r="J85" s="290">
        <f>1000*C105*(TableC2!K83+TableC2!V83)/(TableC2!$D$100+TableC2!$O$100)</f>
        <v>0</v>
      </c>
      <c r="K85" s="296">
        <f>1000*C105*(TableC2!L83+TableC2!W83)/(TableC2!$D$100+TableC2!$O$100)</f>
        <v>0</v>
      </c>
      <c r="L85" s="290">
        <f>1000*C105*(TableC2!M83+TableC2!X83)/(TableC2!$D$100+TableC2!$O$100)</f>
        <v>0</v>
      </c>
      <c r="M85" s="295">
        <f>1000*C105*(TableC2!N83+TableC2!Y83)/(TableC2!$D$100+TableC2!$O$100)</f>
        <v>0</v>
      </c>
      <c r="N85" s="294">
        <f>1000*C105*TableC3!C83/TableC3!$C$91</f>
        <v>-4.8148769865217253E-2</v>
      </c>
      <c r="O85" s="293">
        <f>1000*C105*TableC3!D83/TableC3!$C$91</f>
        <v>3.8748461168610026E-3</v>
      </c>
      <c r="P85" s="292">
        <f>1000*C105*TableC3!E83/TableC3!$C$91</f>
        <v>0</v>
      </c>
      <c r="Q85" s="292">
        <f>1000*C105*TableC3!F83/TableC3!$C$91</f>
        <v>3.8748461168610026E-3</v>
      </c>
      <c r="R85" s="292">
        <f>1000*C105*TableC3!G83/TableC3!$C$91</f>
        <v>0</v>
      </c>
      <c r="S85" s="290">
        <f>1000*C105*TableC3!H83/TableC3!$C$91</f>
        <v>0</v>
      </c>
      <c r="T85" s="290">
        <f>1000*C105*TableC3!I83/TableC3!$C$91</f>
        <v>0</v>
      </c>
      <c r="U85" s="290">
        <f>1000*C105*TableC3!J83/TableC3!$C$91</f>
        <v>0</v>
      </c>
      <c r="V85" s="296">
        <f>1000*C105*TableC3!K83/TableC3!$C$91</f>
        <v>-5.2023615982078254E-2</v>
      </c>
      <c r="W85" s="290">
        <f>1000*C105*TableC3!L83/TableC3!$C$91</f>
        <v>0</v>
      </c>
      <c r="X85" s="289">
        <f>1000*C105*TableC3!M83/TableC3!$C$91</f>
        <v>-5.2023615982078254E-2</v>
      </c>
    </row>
    <row r="86" spans="1:24" hidden="1" x14ac:dyDescent="0.35">
      <c r="B86" s="297" t="str">
        <f>+[3]TableA1!A85</f>
        <v>St. Lucia</v>
      </c>
      <c r="C86" s="308">
        <f>1000*C105*(TableC2!D84+TableC2!O84)/(TableC2!$D$100+TableC2!$O$100)</f>
        <v>0</v>
      </c>
      <c r="D86" s="293">
        <f>1000*C105*(TableC2!E84+TableC2!P84)/(TableC2!$D$100+TableC2!$O$100)</f>
        <v>0</v>
      </c>
      <c r="E86" s="292">
        <f>1000*C105*(TableC2!F84+TableC2!Q84)/(TableC2!$D$100+TableC2!$O$100)</f>
        <v>0</v>
      </c>
      <c r="F86" s="292">
        <f>1000*C105*(TableC2!G84+TableC2!R84)/(TableC2!$D$100+TableC2!$O$100)</f>
        <v>0</v>
      </c>
      <c r="G86" s="292">
        <f>1000*C105*(TableC2!H84+TableC2!S84)/(TableC2!$D$100+TableC2!$O$100)</f>
        <v>0</v>
      </c>
      <c r="H86" s="290">
        <f>1000*C105*(TableC2!I84+TableC2!T84)/(TableC2!$D$100+TableC2!$O$100)</f>
        <v>0</v>
      </c>
      <c r="I86" s="290">
        <f>1000*C105*(TableC2!J84+TableC2!U84)/(TableC2!$D$100+TableC2!$O$100)</f>
        <v>0</v>
      </c>
      <c r="J86" s="290">
        <f>1000*C105*(TableC2!K84+TableC2!V84)/(TableC2!$D$100+TableC2!$O$100)</f>
        <v>0</v>
      </c>
      <c r="K86" s="296">
        <f>1000*C105*(TableC2!L84+TableC2!W84)/(TableC2!$D$100+TableC2!$O$100)</f>
        <v>0</v>
      </c>
      <c r="L86" s="290">
        <f>1000*C105*(TableC2!M84+TableC2!X84)/(TableC2!$D$100+TableC2!$O$100)</f>
        <v>0</v>
      </c>
      <c r="M86" s="295">
        <f>1000*C105*(TableC2!N84+TableC2!Y84)/(TableC2!$D$100+TableC2!$O$100)</f>
        <v>0</v>
      </c>
      <c r="N86" s="294">
        <f>1000*C105*TableC3!C84/TableC3!$C$91</f>
        <v>-18.796382775158989</v>
      </c>
      <c r="O86" s="293">
        <f>1000*C105*TableC3!D84/TableC3!$C$91</f>
        <v>-0.52917068444272941</v>
      </c>
      <c r="P86" s="292">
        <f>1000*C105*TableC3!E84/TableC3!$C$91</f>
        <v>-0.58115577739684021</v>
      </c>
      <c r="Q86" s="292">
        <f>1000*C105*TableC3!F84/TableC3!$C$91</f>
        <v>5.1985092954110752E-2</v>
      </c>
      <c r="R86" s="292">
        <f>1000*C105*TableC3!G84/TableC3!$C$91</f>
        <v>0</v>
      </c>
      <c r="S86" s="290">
        <f>1000*C105*TableC3!H84/TableC3!$C$91</f>
        <v>0</v>
      </c>
      <c r="T86" s="290">
        <f>1000*C105*TableC3!I84/TableC3!$C$91</f>
        <v>0</v>
      </c>
      <c r="U86" s="290">
        <f>1000*C105*TableC3!J84/TableC3!$C$91</f>
        <v>0</v>
      </c>
      <c r="V86" s="296">
        <f>1000*C105*TableC3!K84/TableC3!$C$91</f>
        <v>-18.26721209071626</v>
      </c>
      <c r="W86" s="290">
        <f>1000*C105*TableC3!L84/TableC3!$C$91</f>
        <v>0</v>
      </c>
      <c r="X86" s="289">
        <f>1000*C105*TableC3!M84/TableC3!$C$91</f>
        <v>-18.26721209071626</v>
      </c>
    </row>
    <row r="87" spans="1:24" hidden="1" x14ac:dyDescent="0.35">
      <c r="B87" s="297" t="str">
        <f>+[3]TableA1!A86</f>
        <v>St. Vincent and the Grenadines</v>
      </c>
      <c r="C87" s="308">
        <f>1000*C105*(TableC2!D85+TableC2!O85)/(TableC2!$D$100+TableC2!$O$100)</f>
        <v>0</v>
      </c>
      <c r="D87" s="293">
        <f>1000*C105*(TableC2!E85+TableC2!P85)/(TableC2!$D$100+TableC2!$O$100)</f>
        <v>0</v>
      </c>
      <c r="E87" s="292">
        <f>1000*C105*(TableC2!F85+TableC2!Q85)/(TableC2!$D$100+TableC2!$O$100)</f>
        <v>0</v>
      </c>
      <c r="F87" s="292">
        <f>1000*C105*(TableC2!G85+TableC2!R85)/(TableC2!$D$100+TableC2!$O$100)</f>
        <v>0</v>
      </c>
      <c r="G87" s="292">
        <f>1000*C105*(TableC2!H85+TableC2!S85)/(TableC2!$D$100+TableC2!$O$100)</f>
        <v>0</v>
      </c>
      <c r="H87" s="290">
        <f>1000*C105*(TableC2!I85+TableC2!T85)/(TableC2!$D$100+TableC2!$O$100)</f>
        <v>0</v>
      </c>
      <c r="I87" s="290">
        <f>1000*C105*(TableC2!J85+TableC2!U85)/(TableC2!$D$100+TableC2!$O$100)</f>
        <v>0</v>
      </c>
      <c r="J87" s="290">
        <f>1000*C105*(TableC2!K85+TableC2!V85)/(TableC2!$D$100+TableC2!$O$100)</f>
        <v>0</v>
      </c>
      <c r="K87" s="296">
        <f>1000*C105*(TableC2!L85+TableC2!W85)/(TableC2!$D$100+TableC2!$O$100)</f>
        <v>0</v>
      </c>
      <c r="L87" s="290">
        <f>1000*C105*(TableC2!M85+TableC2!X85)/(TableC2!$D$100+TableC2!$O$100)</f>
        <v>0</v>
      </c>
      <c r="M87" s="295">
        <f>1000*C105*(TableC2!N85+TableC2!Y85)/(TableC2!$D$100+TableC2!$O$100)</f>
        <v>0</v>
      </c>
      <c r="N87" s="294">
        <f>1000*C105*TableC3!C85/TableC3!$C$91</f>
        <v>4.468171070638923</v>
      </c>
      <c r="O87" s="293">
        <f>1000*C105*TableC3!D85/TableC3!$C$91</f>
        <v>1.5758000455796009E-3</v>
      </c>
      <c r="P87" s="292">
        <f>1000*C105*TableC3!E85/TableC3!$C$91</f>
        <v>0</v>
      </c>
      <c r="Q87" s="292">
        <f>1000*C105*TableC3!F85/TableC3!$C$91</f>
        <v>1.5758000455796009E-3</v>
      </c>
      <c r="R87" s="292">
        <f>1000*C105*TableC3!G85/TableC3!$C$91</f>
        <v>0</v>
      </c>
      <c r="S87" s="290">
        <f>1000*C105*TableC3!H85/TableC3!$C$91</f>
        <v>0</v>
      </c>
      <c r="T87" s="290">
        <f>1000*C105*TableC3!I85/TableC3!$C$91</f>
        <v>0</v>
      </c>
      <c r="U87" s="290">
        <f>1000*C105*TableC3!J85/TableC3!$C$91</f>
        <v>0</v>
      </c>
      <c r="V87" s="296">
        <f>1000*C105*TableC3!K85/TableC3!$C$91</f>
        <v>4.4665952705933432</v>
      </c>
      <c r="W87" s="290">
        <f>1000*C105*TableC3!L85/TableC3!$C$91</f>
        <v>0</v>
      </c>
      <c r="X87" s="289">
        <f>1000*C105*TableC3!M85/TableC3!$C$91</f>
        <v>4.4665952705933432</v>
      </c>
    </row>
    <row r="88" spans="1:24" ht="23" hidden="1" x14ac:dyDescent="0.35">
      <c r="A88" s="343" t="s">
        <v>353</v>
      </c>
      <c r="B88" s="297" t="str">
        <f>+[3]TableA1!A87</f>
        <v>Turks and Caicos</v>
      </c>
      <c r="C88" s="308">
        <f>1000*C105*(TableC2!D86+TableC2!O86)/(TableC2!$D$100+TableC2!$O$100)</f>
        <v>0</v>
      </c>
      <c r="D88" s="293">
        <f>1000*C105*(TableC2!E86+TableC2!P86)/(TableC2!$D$100+TableC2!$O$100)</f>
        <v>0</v>
      </c>
      <c r="E88" s="292">
        <f>1000*C105*(TableC2!F86+TableC2!Q86)/(TableC2!$D$100+TableC2!$O$100)</f>
        <v>0</v>
      </c>
      <c r="F88" s="292">
        <f>1000*C105*(TableC2!G86+TableC2!R86)/(TableC2!$D$100+TableC2!$O$100)</f>
        <v>0</v>
      </c>
      <c r="G88" s="292">
        <f>1000*C105*(TableC2!H86+TableC2!S86)/(TableC2!$D$100+TableC2!$O$100)</f>
        <v>0</v>
      </c>
      <c r="H88" s="290">
        <f>1000*C105*(TableC2!I86+TableC2!T86)/(TableC2!$D$100+TableC2!$O$100)</f>
        <v>0</v>
      </c>
      <c r="I88" s="290">
        <f>1000*C105*(TableC2!J86+TableC2!U86)/(TableC2!$D$100+TableC2!$O$100)</f>
        <v>0</v>
      </c>
      <c r="J88" s="290">
        <f>1000*C105*(TableC2!K86+TableC2!V86)/(TableC2!$D$100+TableC2!$O$100)</f>
        <v>0</v>
      </c>
      <c r="K88" s="296">
        <f>1000*C105*(TableC2!L86+TableC2!W86)/(TableC2!$D$100+TableC2!$O$100)</f>
        <v>0</v>
      </c>
      <c r="L88" s="290">
        <f>1000*C105*(TableC2!M86+TableC2!X86)/(TableC2!$D$100+TableC2!$O$100)</f>
        <v>0</v>
      </c>
      <c r="M88" s="295">
        <f>1000*C105*(TableC2!N86+TableC2!Y86)/(TableC2!$D$100+TableC2!$O$100)</f>
        <v>0</v>
      </c>
      <c r="N88" s="294">
        <f>1000*C105*TableC3!C86/TableC3!$C$91</f>
        <v>0.62697566952333317</v>
      </c>
      <c r="O88" s="293">
        <f>1000*C105*TableC3!D86/TableC3!$C$91</f>
        <v>6.1630415440960557E-3</v>
      </c>
      <c r="P88" s="292">
        <f>1000*C105*TableC3!E86/TableC3!$C$91</f>
        <v>0</v>
      </c>
      <c r="Q88" s="292">
        <f>1000*C105*TableC3!F86/TableC3!$C$91</f>
        <v>6.1630415440960557E-3</v>
      </c>
      <c r="R88" s="292">
        <f>1000*C105*TableC3!G86/TableC3!$C$91</f>
        <v>0</v>
      </c>
      <c r="S88" s="290">
        <f>1000*C105*TableC3!H86/TableC3!$C$91</f>
        <v>0</v>
      </c>
      <c r="T88" s="290">
        <f>1000*C105*TableC3!I86/TableC3!$C$91</f>
        <v>0</v>
      </c>
      <c r="U88" s="290">
        <f>1000*C105*TableC3!J86/TableC3!$C$91</f>
        <v>0</v>
      </c>
      <c r="V88" s="296">
        <f>1000*C105*TableC3!K86/TableC3!$C$91</f>
        <v>0.62081262797923709</v>
      </c>
      <c r="W88" s="290">
        <f>1000*C105*TableC3!L86/TableC3!$C$91</f>
        <v>0</v>
      </c>
      <c r="X88" s="289">
        <f>1000*C105*TableC3!M86/TableC3!$C$91</f>
        <v>0.62081262797923709</v>
      </c>
    </row>
    <row r="89" spans="1:24" hidden="1" x14ac:dyDescent="0.35">
      <c r="B89" s="297" t="str">
        <f>+[3]TableA1!A88</f>
        <v>Panama</v>
      </c>
      <c r="C89" s="308">
        <f>1000*C105*(TableC2!D87+TableC2!O87)/(TableC2!$D$100+TableC2!$O$100)</f>
        <v>0</v>
      </c>
      <c r="D89" s="293">
        <f>1000*C105*(TableC2!E87+TableC2!P87)/(TableC2!$D$100+TableC2!$O$100)</f>
        <v>0</v>
      </c>
      <c r="E89" s="292">
        <f>1000*C105*(TableC2!F87+TableC2!Q87)/(TableC2!$D$100+TableC2!$O$100)</f>
        <v>0</v>
      </c>
      <c r="F89" s="292">
        <f>1000*C105*(TableC2!G87+TableC2!R87)/(TableC2!$D$100+TableC2!$O$100)</f>
        <v>0</v>
      </c>
      <c r="G89" s="292">
        <f>1000*C105*(TableC2!H87+TableC2!S87)/(TableC2!$D$100+TableC2!$O$100)</f>
        <v>0</v>
      </c>
      <c r="H89" s="290">
        <f>1000*C105*(TableC2!I87+TableC2!T87)/(TableC2!$D$100+TableC2!$O$100)</f>
        <v>0</v>
      </c>
      <c r="I89" s="290">
        <f>1000*C105*(TableC2!J87+TableC2!U87)/(TableC2!$D$100+TableC2!$O$100)</f>
        <v>0</v>
      </c>
      <c r="J89" s="290">
        <f>1000*C105*(TableC2!K87+TableC2!V87)/(TableC2!$D$100+TableC2!$O$100)</f>
        <v>0</v>
      </c>
      <c r="K89" s="296">
        <f>1000*C105*(TableC2!L87+TableC2!W87)/(TableC2!$D$100+TableC2!$O$100)</f>
        <v>0</v>
      </c>
      <c r="L89" s="290">
        <f>1000*C105*(TableC2!M87+TableC2!X87)/(TableC2!$D$100+TableC2!$O$100)</f>
        <v>0</v>
      </c>
      <c r="M89" s="295">
        <f>1000*C105*(TableC2!N87+TableC2!Y87)/(TableC2!$D$100+TableC2!$O$100)</f>
        <v>0</v>
      </c>
      <c r="N89" s="294">
        <f>1000*C105*TableC3!C87/TableC3!$C$91</f>
        <v>898.86700342378981</v>
      </c>
      <c r="O89" s="293">
        <f>1000*C105*TableC3!D87/TableC3!$C$91</f>
        <v>-9.1825185826495392</v>
      </c>
      <c r="P89" s="292">
        <f>1000*C105*TableC3!E87/TableC3!$C$91</f>
        <v>-9.2189933615625268</v>
      </c>
      <c r="Q89" s="292">
        <f>1000*C105*TableC3!F87/TableC3!$C$91</f>
        <v>3.6474778912984257E-2</v>
      </c>
      <c r="R89" s="292">
        <f>1000*C105*TableC3!G87/TableC3!$C$91</f>
        <v>0</v>
      </c>
      <c r="S89" s="290">
        <f>1000*C105*TableC3!H87/TableC3!$C$91</f>
        <v>0</v>
      </c>
      <c r="T89" s="290">
        <f>1000*C105*TableC3!I87/TableC3!$C$91</f>
        <v>0</v>
      </c>
      <c r="U89" s="290">
        <f>1000*C105*TableC3!J87/TableC3!$C$91</f>
        <v>0</v>
      </c>
      <c r="V89" s="296">
        <f>1000*C105*TableC3!K87/TableC3!$C$91</f>
        <v>908.04952200643936</v>
      </c>
      <c r="W89" s="290">
        <f>1000*C105*TableC3!L87/TableC3!$C$91</f>
        <v>0</v>
      </c>
      <c r="X89" s="289">
        <f>1000*C105*TableC3!M87/TableC3!$C$91</f>
        <v>908.04952200643936</v>
      </c>
    </row>
    <row r="90" spans="1:24" hidden="1" x14ac:dyDescent="0.35">
      <c r="B90" s="297" t="s">
        <v>122</v>
      </c>
      <c r="C90" s="308">
        <f>1000*C105*(TableC2!D88+TableC2!O88)/(TableC2!$D$100+TableC2!$O$100)</f>
        <v>0</v>
      </c>
      <c r="D90" s="293">
        <f>1000*C105*(TableC2!E88+TableC2!P88)/(TableC2!$D$100+TableC2!$O$100)</f>
        <v>0</v>
      </c>
      <c r="E90" s="292">
        <f>1000*C105*(TableC2!F88+TableC2!Q88)/(TableC2!$D$100+TableC2!$O$100)</f>
        <v>0</v>
      </c>
      <c r="F90" s="292">
        <f>1000*C105*(TableC2!G88+TableC2!R88)/(TableC2!$D$100+TableC2!$O$100)</f>
        <v>0</v>
      </c>
      <c r="G90" s="292">
        <f>1000*C105*(TableC2!H88+TableC2!S88)/(TableC2!$D$100+TableC2!$O$100)</f>
        <v>0</v>
      </c>
      <c r="H90" s="290">
        <f>1000*C105*(TableC2!I88+TableC2!T88)/(TableC2!$D$100+TableC2!$O$100)</f>
        <v>0</v>
      </c>
      <c r="I90" s="290">
        <f>1000*C105*(TableC2!J88+TableC2!U88)/(TableC2!$D$100+TableC2!$O$100)</f>
        <v>0</v>
      </c>
      <c r="J90" s="290">
        <f>1000*C105*(TableC2!K88+TableC2!V88)/(TableC2!$D$100+TableC2!$O$100)</f>
        <v>0</v>
      </c>
      <c r="K90" s="296">
        <f>1000*C105*(TableC2!L88+TableC2!W88)/(TableC2!$D$100+TableC2!$O$100)</f>
        <v>0</v>
      </c>
      <c r="L90" s="290">
        <f>1000*C105*(TableC2!M88+TableC2!X88)/(TableC2!$D$100+TableC2!$O$100)</f>
        <v>0</v>
      </c>
      <c r="M90" s="295">
        <f>1000*C105*(TableC2!N88+TableC2!Y88)/(TableC2!$D$100+TableC2!$O$100)</f>
        <v>0</v>
      </c>
      <c r="N90" s="294">
        <f>1000*C105*TableC3!C88/TableC3!$C$91</f>
        <v>32.346623598979562</v>
      </c>
      <c r="O90" s="293">
        <f>1000*C105*TableC3!D88/TableC3!$C$91</f>
        <v>0</v>
      </c>
      <c r="P90" s="292">
        <f>1000*C105*TableC3!E88/TableC3!$C$91</f>
        <v>0</v>
      </c>
      <c r="Q90" s="292">
        <f>1000*C105*TableC3!F88/TableC3!$C$91</f>
        <v>0</v>
      </c>
      <c r="R90" s="292">
        <f>1000*C105*TableC3!G88/TableC3!$C$91</f>
        <v>0</v>
      </c>
      <c r="S90" s="290">
        <f>1000*C105*TableC3!H88/TableC3!$C$91</f>
        <v>0</v>
      </c>
      <c r="T90" s="290">
        <f>1000*C105*TableC3!I88/TableC3!$C$91</f>
        <v>0</v>
      </c>
      <c r="U90" s="290">
        <f>1000*C105*TableC3!J88/TableC3!$C$91</f>
        <v>0</v>
      </c>
      <c r="V90" s="296">
        <f>1000*C105*TableC3!K88/TableC3!$C$91</f>
        <v>32.346623598979562</v>
      </c>
      <c r="W90" s="290">
        <f>1000*C105*TableC3!L88/TableC3!$C$91</f>
        <v>0</v>
      </c>
      <c r="X90" s="289">
        <f>1000*C105*TableC3!M88/TableC3!$C$91</f>
        <v>32.346623598979562</v>
      </c>
    </row>
    <row r="91" spans="1:24" ht="40" customHeight="1" x14ac:dyDescent="0.35">
      <c r="B91" s="307" t="s">
        <v>442</v>
      </c>
      <c r="C91" s="304">
        <f>+SUM(C92:C99)</f>
        <v>47598.818487423996</v>
      </c>
      <c r="D91" s="304">
        <f t="shared" ref="D91:M91" si="1">+SUM(D92:D99)</f>
        <v>8684.9462309724349</v>
      </c>
      <c r="E91" s="269">
        <f t="shared" si="1"/>
        <v>1106.5452250581047</v>
      </c>
      <c r="F91" s="269">
        <f t="shared" si="1"/>
        <v>11.104811074643074</v>
      </c>
      <c r="G91" s="269">
        <f t="shared" si="1"/>
        <v>2174.7155966557343</v>
      </c>
      <c r="H91" s="269">
        <f t="shared" si="1"/>
        <v>813.88425471118228</v>
      </c>
      <c r="I91" s="269">
        <f t="shared" si="1"/>
        <v>33.736134910308074</v>
      </c>
      <c r="J91" s="269">
        <f t="shared" si="1"/>
        <v>4544.960208562462</v>
      </c>
      <c r="K91" s="304">
        <f t="shared" si="1"/>
        <v>38913.872256451548</v>
      </c>
      <c r="L91" s="269">
        <f t="shared" si="1"/>
        <v>5638.0817186956447</v>
      </c>
      <c r="M91" s="274">
        <f t="shared" si="1"/>
        <v>33275.790537755915</v>
      </c>
      <c r="N91" s="304"/>
      <c r="O91" s="304"/>
      <c r="P91" s="281"/>
      <c r="Q91" s="281"/>
      <c r="R91" s="281"/>
      <c r="S91" s="281"/>
      <c r="T91" s="281"/>
      <c r="U91" s="281"/>
      <c r="V91" s="304"/>
      <c r="W91" s="269"/>
      <c r="X91" s="267"/>
    </row>
    <row r="92" spans="1:24" ht="14" customHeight="1" x14ac:dyDescent="0.35">
      <c r="B92" s="309" t="s">
        <v>130</v>
      </c>
      <c r="C92" s="308">
        <f>1000*$C$105*(TableC2!D90+TableC2!O90)/(TableC2!$D$100+TableC2!$O$100)</f>
        <v>4928.7977089356718</v>
      </c>
      <c r="D92" s="308">
        <f>1000*$C$105*(TableC2!E90+TableC2!P90)/(TableC2!$D$100+TableC2!$O$100)</f>
        <v>1417.1988006905249</v>
      </c>
      <c r="E92" s="281">
        <f>1000*$C$105*(TableC2!F90+TableC2!Q90)/(TableC2!$D$100+TableC2!$O$100)</f>
        <v>110.76697628884483</v>
      </c>
      <c r="F92" s="281">
        <f>1000*$C$105*(TableC2!G90+TableC2!R90)/(TableC2!$D$100+TableC2!$O$100)</f>
        <v>0</v>
      </c>
      <c r="G92" s="281">
        <f>1000*$C$105*(TableC2!H90+TableC2!S90)/(TableC2!$D$100+TableC2!$O$100)</f>
        <v>213.94332222287034</v>
      </c>
      <c r="H92" s="281">
        <f>1000*$C$105*(TableC2!I90+TableC2!T90)/(TableC2!$D$100+TableC2!$O$100)</f>
        <v>119.48214447400777</v>
      </c>
      <c r="I92" s="281">
        <f>1000*$C$105*(TableC2!J90+TableC2!U90)/(TableC2!$D$100+TableC2!$O$100)</f>
        <v>1.2651050591365527</v>
      </c>
      <c r="J92" s="281">
        <f>1000*$C$105*(TableC2!K90+TableC2!V90)/(TableC2!$D$100+TableC2!$O$100)</f>
        <v>971.74125264566533</v>
      </c>
      <c r="K92" s="308">
        <f>1000*$C$105*(TableC2!L90+TableC2!W90)/(TableC2!$D$100+TableC2!$O$100)</f>
        <v>3511.598908245147</v>
      </c>
      <c r="L92" s="290">
        <f>1000*$C$105*(TableC2!M90+TableC2!X90)/(TableC2!$D$100+TableC2!$O$100)</f>
        <v>619.29971942838461</v>
      </c>
      <c r="M92" s="295">
        <f>1000*$C$105*(TableC2!N90+TableC2!Y90)/(TableC2!$D$100+TableC2!$O$100)</f>
        <v>2892.299188816763</v>
      </c>
      <c r="N92" s="308"/>
      <c r="O92" s="308"/>
      <c r="P92" s="281"/>
      <c r="Q92" s="281"/>
      <c r="R92" s="281"/>
      <c r="S92" s="281"/>
      <c r="T92" s="281"/>
      <c r="U92" s="281"/>
      <c r="V92" s="308"/>
      <c r="W92" s="290"/>
      <c r="X92" s="289"/>
    </row>
    <row r="93" spans="1:24" ht="14" customHeight="1" x14ac:dyDescent="0.35">
      <c r="B93" s="309" t="s">
        <v>175</v>
      </c>
      <c r="C93" s="308">
        <f>1000*$C$105*(TableC2!D91+TableC2!O91)/(TableC2!$D$100+TableC2!$O$100)</f>
        <v>5511.8256237841879</v>
      </c>
      <c r="D93" s="308">
        <f>1000*$C$105*(TableC2!E91+TableC2!P91)/(TableC2!$D$100+TableC2!$O$100)</f>
        <v>1041.181463669383</v>
      </c>
      <c r="E93" s="281">
        <f>1000*$C$105*(TableC2!F91+TableC2!Q91)/(TableC2!$D$100+TableC2!$O$100)</f>
        <v>372.78429075890415</v>
      </c>
      <c r="F93" s="281">
        <f>1000*$C$105*(TableC2!G91+TableC2!R91)/(TableC2!$D$100+TableC2!$O$100)</f>
        <v>6.4660925244757133</v>
      </c>
      <c r="G93" s="281">
        <f>1000*$C$105*(TableC2!H91+TableC2!S91)/(TableC2!$D$100+TableC2!$O$100)</f>
        <v>295.05061323640268</v>
      </c>
      <c r="H93" s="281">
        <f>1000*$C$105*(TableC2!I91+TableC2!T91)/(TableC2!$D$100+TableC2!$O$100)</f>
        <v>94.180043291276704</v>
      </c>
      <c r="I93" s="281">
        <f>1000*$C$105*(TableC2!J91+TableC2!U91)/(TableC2!$D$100+TableC2!$O$100)</f>
        <v>5.3415546941321113</v>
      </c>
      <c r="J93" s="281">
        <f>1000*$C$105*(TableC2!K91+TableC2!V91)/(TableC2!$D$100+TableC2!$O$100)</f>
        <v>267.35886916419145</v>
      </c>
      <c r="K93" s="308">
        <f>1000*$C$105*(TableC2!L91+TableC2!W91)/(TableC2!$D$100+TableC2!$O$100)</f>
        <v>4470.6441601148044</v>
      </c>
      <c r="L93" s="290">
        <f>1000*$C$105*(TableC2!M91+TableC2!X91)/(TableC2!$D$100+TableC2!$O$100)</f>
        <v>788.43533853552537</v>
      </c>
      <c r="M93" s="295">
        <f>1000*$C$105*(TableC2!N91+TableC2!Y91)/(TableC2!$D$100+TableC2!$O$100)</f>
        <v>3682.2088215792787</v>
      </c>
      <c r="N93" s="308"/>
      <c r="O93" s="308"/>
      <c r="P93" s="281"/>
      <c r="Q93" s="281"/>
      <c r="R93" s="281"/>
      <c r="S93" s="281"/>
      <c r="T93" s="281"/>
      <c r="U93" s="281"/>
      <c r="V93" s="308"/>
      <c r="W93" s="290"/>
      <c r="X93" s="289"/>
    </row>
    <row r="94" spans="1:24" ht="14" customHeight="1" x14ac:dyDescent="0.35">
      <c r="B94" s="309" t="s">
        <v>198</v>
      </c>
      <c r="C94" s="308">
        <f>1000*$C$105*(TableC2!D92+TableC2!O92)/(TableC2!$D$100+TableC2!$O$100)</f>
        <v>11981.150991337327</v>
      </c>
      <c r="D94" s="308">
        <f>1000*$C$105*(TableC2!E92+TableC2!P92)/(TableC2!$D$100+TableC2!$O$100)</f>
        <v>1867.0139328279658</v>
      </c>
      <c r="E94" s="281">
        <f>1000*$C$105*(TableC2!F92+TableC2!Q92)/(TableC2!$D$100+TableC2!$O$100)</f>
        <v>64.239223558378285</v>
      </c>
      <c r="F94" s="281">
        <f>1000*$C$105*(TableC2!G92+TableC2!R92)/(TableC2!$D$100+TableC2!$O$100)</f>
        <v>1.5462395167224534</v>
      </c>
      <c r="G94" s="281">
        <f>1000*$C$105*(TableC2!H92+TableC2!S92)/(TableC2!$D$100+TableC2!$O$100)</f>
        <v>633.95820185620585</v>
      </c>
      <c r="H94" s="281">
        <f>1000*$C$105*(TableC2!I92+TableC2!T92)/(TableC2!$D$100+TableC2!$O$100)</f>
        <v>82.934664987840677</v>
      </c>
      <c r="I94" s="281">
        <f>1000*$C$105*(TableC2!J92+TableC2!U92)/(TableC2!$D$100+TableC2!$O$100)</f>
        <v>9.1368698715417693</v>
      </c>
      <c r="J94" s="281">
        <f>1000*$C$105*(TableC2!K92+TableC2!V92)/(TableC2!$D$100+TableC2!$O$100)</f>
        <v>1075.198733037277</v>
      </c>
      <c r="K94" s="308">
        <f>1000*$C$105*(TableC2!L92+TableC2!W92)/(TableC2!$D$100+TableC2!$O$100)</f>
        <v>10114.137058509361</v>
      </c>
      <c r="L94" s="290">
        <f>1000*$C$105*(TableC2!M92+TableC2!X92)/(TableC2!$D$100+TableC2!$O$100)</f>
        <v>1783.7123220103824</v>
      </c>
      <c r="M94" s="295">
        <f>1000*$C$105*(TableC2!N92+TableC2!Y92)/(TableC2!$D$100+TableC2!$O$100)</f>
        <v>8330.4247364989787</v>
      </c>
      <c r="N94" s="308"/>
      <c r="O94" s="308"/>
      <c r="P94" s="281"/>
      <c r="Q94" s="281"/>
      <c r="R94" s="281"/>
      <c r="S94" s="281"/>
      <c r="T94" s="281"/>
      <c r="U94" s="281"/>
      <c r="V94" s="308"/>
      <c r="W94" s="290"/>
      <c r="X94" s="289"/>
    </row>
    <row r="95" spans="1:24" ht="14" customHeight="1" x14ac:dyDescent="0.35">
      <c r="B95" s="309" t="s">
        <v>222</v>
      </c>
      <c r="C95" s="308">
        <f>1000*$C$105*(TableC2!D93+TableC2!O93)/(TableC2!$D$100+TableC2!$O$100)</f>
        <v>7046.1835705219</v>
      </c>
      <c r="D95" s="308">
        <f>1000*$C$105*(TableC2!E93+TableC2!P93)/(TableC2!$D$100+TableC2!$O$100)</f>
        <v>1476.0964695547707</v>
      </c>
      <c r="E95" s="281">
        <f>1000*$C$105*(TableC2!F93+TableC2!Q93)/(TableC2!$D$100+TableC2!$O$100)</f>
        <v>341.85950042445512</v>
      </c>
      <c r="F95" s="281">
        <f>1000*$C$105*(TableC2!G93+TableC2!R93)/(TableC2!$D$100+TableC2!$O$100)</f>
        <v>0</v>
      </c>
      <c r="G95" s="281">
        <f>1000*$C$105*(TableC2!H93+TableC2!S93)/(TableC2!$D$100+TableC2!$O$100)</f>
        <v>412.70538373610214</v>
      </c>
      <c r="H95" s="281">
        <f>1000*$C$105*(TableC2!I93+TableC2!T93)/(TableC2!$D$100+TableC2!$O$100)</f>
        <v>171.21088466981345</v>
      </c>
      <c r="I95" s="281">
        <f>1000*$C$105*(TableC2!J93+TableC2!U93)/(TableC2!$D$100+TableC2!$O$100)</f>
        <v>4.919853007753261</v>
      </c>
      <c r="J95" s="281">
        <f>1000*$C$105*(TableC2!K93+TableC2!V93)/(TableC2!$D$100+TableC2!$O$100)</f>
        <v>545.40084771664715</v>
      </c>
      <c r="K95" s="308">
        <f>1000*$C$105*(TableC2!L93+TableC2!W93)/(TableC2!$D$100+TableC2!$O$100)</f>
        <v>5570.0871009671291</v>
      </c>
      <c r="L95" s="290">
        <f>1000*$C$105*(TableC2!M93+TableC2!X93)/(TableC2!$D$100+TableC2!$O$100)</f>
        <v>294.50041318763385</v>
      </c>
      <c r="M95" s="295">
        <f>1000*$C$105*(TableC2!N93+TableC2!Y93)/(TableC2!$D$100+TableC2!$O$100)</f>
        <v>5275.5866877794942</v>
      </c>
      <c r="N95" s="308"/>
      <c r="O95" s="308"/>
      <c r="P95" s="281"/>
      <c r="Q95" s="281"/>
      <c r="R95" s="281"/>
      <c r="S95" s="281"/>
      <c r="T95" s="281"/>
      <c r="U95" s="281"/>
      <c r="V95" s="308"/>
      <c r="W95" s="290"/>
      <c r="X95" s="289"/>
    </row>
    <row r="96" spans="1:24" ht="14" customHeight="1" x14ac:dyDescent="0.35">
      <c r="B96" s="309" t="s">
        <v>240</v>
      </c>
      <c r="C96" s="308">
        <f>1000*$C$105*(TableC2!D94+TableC2!O94)/(TableC2!$D$100+TableC2!$O$100)</f>
        <v>4302.7320508594248</v>
      </c>
      <c r="D96" s="308">
        <f>1000*$C$105*(TableC2!E94+TableC2!P94)/(TableC2!$D$100+TableC2!$O$100)</f>
        <v>1069.4354766567658</v>
      </c>
      <c r="E96" s="281">
        <f>1000*$C$105*(TableC2!F94+TableC2!Q94)/(TableC2!$D$100+TableC2!$O$100)</f>
        <v>111.61037966160252</v>
      </c>
      <c r="F96" s="281">
        <f>1000*$C$105*(TableC2!G94+TableC2!R94)/(TableC2!$D$100+TableC2!$O$100)</f>
        <v>1.4056722879295029</v>
      </c>
      <c r="G96" s="281">
        <f>1000*$C$105*(TableC2!H94+TableC2!S94)/(TableC2!$D$100+TableC2!$O$100)</f>
        <v>170.08634683946985</v>
      </c>
      <c r="H96" s="281">
        <f>1000*$C$105*(TableC2!I94+TableC2!T94)/(TableC2!$D$100+TableC2!$O$100)</f>
        <v>96.9913878671357</v>
      </c>
      <c r="I96" s="281">
        <f>1000*$C$105*(TableC2!J94+TableC2!U94)/(TableC2!$D$100+TableC2!$O$100)</f>
        <v>0.42170168637885086</v>
      </c>
      <c r="J96" s="281">
        <f>1000*$C$105*(TableC2!K94+TableC2!V94)/(TableC2!$D$100+TableC2!$O$100)</f>
        <v>688.91998831424951</v>
      </c>
      <c r="K96" s="308">
        <f>1000*$C$105*(TableC2!L94+TableC2!W94)/(TableC2!$D$100+TableC2!$O$100)</f>
        <v>3233.2965742026586</v>
      </c>
      <c r="L96" s="290">
        <f>1000*$C$105*(TableC2!M94+TableC2!X94)/(TableC2!$D$100+TableC2!$O$100)</f>
        <v>33.345820909896389</v>
      </c>
      <c r="M96" s="295">
        <f>1000*$C$105*(TableC2!N94+TableC2!Y94)/(TableC2!$D$100+TableC2!$O$100)</f>
        <v>3199.9507532927623</v>
      </c>
      <c r="N96" s="308"/>
      <c r="O96" s="308"/>
      <c r="P96" s="281"/>
      <c r="Q96" s="281"/>
      <c r="R96" s="281"/>
      <c r="S96" s="281"/>
      <c r="T96" s="281"/>
      <c r="U96" s="281"/>
      <c r="V96" s="308"/>
      <c r="W96" s="290"/>
      <c r="X96" s="289"/>
    </row>
    <row r="97" spans="2:24" ht="14" customHeight="1" x14ac:dyDescent="0.35">
      <c r="B97" s="309" t="s">
        <v>267</v>
      </c>
      <c r="C97" s="308">
        <f>1000*$C$105*(TableC2!D95+TableC2!O95)/(TableC2!$D$100+TableC2!$O$100)</f>
        <v>10989.429638627405</v>
      </c>
      <c r="D97" s="308">
        <f>1000*$C$105*(TableC2!E95+TableC2!P95)/(TableC2!$D$100+TableC2!$O$100)</f>
        <v>1241.3491974705441</v>
      </c>
      <c r="E97" s="281">
        <f>1000*$C$105*(TableC2!F95+TableC2!Q95)/(TableC2!$D$100+TableC2!$O$100)</f>
        <v>81.247858242325265</v>
      </c>
      <c r="F97" s="281">
        <f>1000*$C$105*(TableC2!G95+TableC2!R95)/(TableC2!$D$100+TableC2!$O$100)</f>
        <v>1.6868067455154034</v>
      </c>
      <c r="G97" s="281">
        <f>1000*$C$105*(TableC2!H95+TableC2!S95)/(TableC2!$D$100+TableC2!$O$100)</f>
        <v>423.10735866678039</v>
      </c>
      <c r="H97" s="281">
        <f>1000*$C$105*(TableC2!I95+TableC2!T95)/(TableC2!$D$100+TableC2!$O$100)</f>
        <v>143.09743891122341</v>
      </c>
      <c r="I97" s="281">
        <f>1000*$C$105*(TableC2!J95+TableC2!U95)/(TableC2!$D$100+TableC2!$O$100)</f>
        <v>9.5585715579206187</v>
      </c>
      <c r="J97" s="281">
        <f>1000*$C$105*(TableC2!K95+TableC2!V95)/(TableC2!$D$100+TableC2!$O$100)</f>
        <v>582.65116334677896</v>
      </c>
      <c r="K97" s="308">
        <f>1000*$C$105*(TableC2!L95+TableC2!W95)/(TableC2!$D$100+TableC2!$O$100)</f>
        <v>9748.0804411568606</v>
      </c>
      <c r="L97" s="290">
        <f>1000*$C$105*(TableC2!M95+TableC2!X95)/(TableC2!$D$100+TableC2!$O$100)</f>
        <v>1719.1551882531573</v>
      </c>
      <c r="M97" s="295">
        <f>1000*$C$105*(TableC2!N95+TableC2!Y95)/(TableC2!$D$100+TableC2!$O$100)</f>
        <v>8028.925252903703</v>
      </c>
      <c r="N97" s="308"/>
      <c r="O97" s="308"/>
      <c r="P97" s="281"/>
      <c r="Q97" s="281"/>
      <c r="R97" s="281"/>
      <c r="S97" s="281"/>
      <c r="T97" s="281"/>
      <c r="U97" s="281"/>
      <c r="V97" s="308"/>
      <c r="W97" s="290"/>
      <c r="X97" s="289"/>
    </row>
    <row r="98" spans="2:24" ht="14" customHeight="1" x14ac:dyDescent="0.35">
      <c r="B98" s="309" t="s">
        <v>277</v>
      </c>
      <c r="C98" s="308">
        <f>1000*$C$105*(TableC2!D96+TableC2!O96)/(TableC2!$D$100+TableC2!$O$100)</f>
        <v>1721.5122027295297</v>
      </c>
      <c r="D98" s="308">
        <f>1000*$C$105*(TableC2!E96+TableC2!P96)/(TableC2!$D$100+TableC2!$O$100)</f>
        <v>392.74483724750309</v>
      </c>
      <c r="E98" s="281">
        <f>1000*$C$105*(TableC2!F96+TableC2!Q96)/(TableC2!$D$100+TableC2!$O$100)</f>
        <v>15.321827938431582</v>
      </c>
      <c r="F98" s="281">
        <f>1000*$C$105*(TableC2!G96+TableC2!R96)/(TableC2!$D$100+TableC2!$O$100)</f>
        <v>0</v>
      </c>
      <c r="G98" s="281">
        <f>1000*$C$105*(TableC2!H96+TableC2!S96)/(TableC2!$D$100+TableC2!$O$100)</f>
        <v>0.14056722879295031</v>
      </c>
      <c r="H98" s="281">
        <f>1000*$C$105*(TableC2!I96+TableC2!T96)/(TableC2!$D$100+TableC2!$O$100)</f>
        <v>81.247858242325265</v>
      </c>
      <c r="I98" s="281">
        <f>1000*$C$105*(TableC2!J96+TableC2!U96)/(TableC2!$D$100+TableC2!$O$100)</f>
        <v>3.0924790334449068</v>
      </c>
      <c r="J98" s="281">
        <f>1000*$C$105*(TableC2!K96+TableC2!V96)/(TableC2!$D$100+TableC2!$O$100)</f>
        <v>292.94210480450846</v>
      </c>
      <c r="K98" s="308">
        <f>1000*$C$105*(TableC2!L96+TableC2!W96)/(TableC2!$D$100+TableC2!$O$100)</f>
        <v>1328.7673654820267</v>
      </c>
      <c r="L98" s="290">
        <f>1000*$C$105*(TableC2!M96+TableC2!X96)/(TableC2!$D$100+TableC2!$O$100)</f>
        <v>234.339193663733</v>
      </c>
      <c r="M98" s="295">
        <f>1000*$C$105*(TableC2!N96+TableC2!Y96)/(TableC2!$D$100+TableC2!$O$100)</f>
        <v>1094.4281718182935</v>
      </c>
      <c r="N98" s="308"/>
      <c r="O98" s="308"/>
      <c r="P98" s="281"/>
      <c r="Q98" s="281"/>
      <c r="R98" s="281"/>
      <c r="S98" s="281"/>
      <c r="T98" s="281"/>
      <c r="U98" s="281"/>
      <c r="V98" s="308"/>
      <c r="W98" s="290"/>
      <c r="X98" s="289"/>
    </row>
    <row r="99" spans="2:24" ht="14" customHeight="1" x14ac:dyDescent="0.35">
      <c r="B99" s="309" t="s">
        <v>280</v>
      </c>
      <c r="C99" s="308">
        <f>1000*$C$105*(TableC2!D97+TableC2!O97)/(TableC2!$D$100+TableC2!$O$100)</f>
        <v>1117.1867006285463</v>
      </c>
      <c r="D99" s="308">
        <f>1000*$C$105*(TableC2!E97+TableC2!P97)/(TableC2!$D$100+TableC2!$O$100)</f>
        <v>179.92605285497638</v>
      </c>
      <c r="E99" s="281">
        <f>1000*$C$105*(TableC2!F97+TableC2!Q97)/(TableC2!$D$100+TableC2!$O$100)</f>
        <v>8.7151681851629199</v>
      </c>
      <c r="F99" s="281">
        <f>1000*$C$105*(TableC2!G97+TableC2!R97)/(TableC2!$D$100+TableC2!$O$100)</f>
        <v>0</v>
      </c>
      <c r="G99" s="281">
        <f>1000*$C$105*(TableC2!H97+TableC2!S97)/(TableC2!$D$100+TableC2!$O$100)</f>
        <v>25.723802869109907</v>
      </c>
      <c r="H99" s="281">
        <f>1000*$C$105*(TableC2!I97+TableC2!T97)/(TableC2!$D$100+TableC2!$O$100)</f>
        <v>24.739832267559255</v>
      </c>
      <c r="I99" s="281">
        <f>1000*$C$105*(TableC2!J97+TableC2!U97)/(TableC2!$D$100+TableC2!$O$100)</f>
        <v>0</v>
      </c>
      <c r="J99" s="281">
        <f>1000*$C$105*(TableC2!K97+TableC2!V97)/(TableC2!$D$100+TableC2!$O$100)</f>
        <v>120.7472495331443</v>
      </c>
      <c r="K99" s="308">
        <f>1000*$C$105*(TableC2!L97+TableC2!W97)/(TableC2!$D$100+TableC2!$O$100)</f>
        <v>937.26064777356999</v>
      </c>
      <c r="L99" s="290">
        <f>1000*$C$105*(TableC2!M97+TableC2!X97)/(TableC2!$D$100+TableC2!$O$100)</f>
        <v>165.29372270693182</v>
      </c>
      <c r="M99" s="295">
        <f>1000*$C$105*(TableC2!N97+TableC2!Y97)/(TableC2!$D$100+TableC2!$O$100)</f>
        <v>771.96692506663805</v>
      </c>
      <c r="N99" s="308"/>
      <c r="O99" s="308"/>
      <c r="P99" s="281"/>
      <c r="Q99" s="281"/>
      <c r="R99" s="281"/>
      <c r="S99" s="281"/>
      <c r="T99" s="281"/>
      <c r="U99" s="281"/>
      <c r="V99" s="308"/>
      <c r="W99" s="290"/>
      <c r="X99" s="289"/>
    </row>
    <row r="100" spans="2:24" ht="40" customHeight="1" x14ac:dyDescent="0.35">
      <c r="B100" s="288" t="s">
        <v>327</v>
      </c>
      <c r="C100" s="287">
        <f>1000*C105*(TableC2!D98+TableC2!O98)/(TableC2!$D$100+TableC2!$O$100)</f>
        <v>170244.42696513975</v>
      </c>
      <c r="D100" s="282">
        <f>1000*C105*(TableC2!E98+TableC2!P98)/(TableC2!$D$100+TableC2!$O$100)</f>
        <v>49970.846298331206</v>
      </c>
      <c r="E100" s="286">
        <f>1000*C105*(TableC2!F98+TableC2!Q98)/(TableC2!$D$100+TableC2!$O$100)</f>
        <v>2338.7895502599572</v>
      </c>
      <c r="F100" s="286">
        <f>1000*C105*(TableC2!G98+TableC2!R98)/(TableC2!$D$100+TableC2!$O$100)</f>
        <v>2107.0442397388929</v>
      </c>
      <c r="G100" s="286">
        <f>1000*C105*(TableC2!H98+TableC2!S98)/(TableC2!$D$100+TableC2!$O$100)</f>
        <v>29482.129074935121</v>
      </c>
      <c r="H100" s="285">
        <f>1000*C105*(TableC2!I98+TableC2!T98)/(TableC2!$D$100+TableC2!$O$100)</f>
        <v>3869.3466490718442</v>
      </c>
      <c r="I100" s="285">
        <f>1000*C105*(TableC2!J98+TableC2!U98)/(TableC2!$D$100+TableC2!$O$100)</f>
        <v>4944.7739614186166</v>
      </c>
      <c r="J100" s="285">
        <f>1000*C105*(TableC2!K98+TableC2!V98)/(TableC2!$D$100+TableC2!$O$100)</f>
        <v>7228.7628229067695</v>
      </c>
      <c r="K100" s="280">
        <f>1000*C105*(TableC2!L98+TableC2!W98)/(TableC2!$D$100+TableC2!$O$100)</f>
        <v>120273.58066680851</v>
      </c>
      <c r="L100" s="279">
        <f>1000*C105*(TableC2!M98+TableC2!X98)/(TableC2!$D$100+TableC2!$O$100)</f>
        <v>14772.338670745048</v>
      </c>
      <c r="M100" s="284">
        <f>1000*C105*(TableC2!N98+TableC2!Y98)/(TableC2!$D$100+TableC2!$O$100)</f>
        <v>105501.24199606346</v>
      </c>
      <c r="N100" s="283">
        <f>1000*C105*TableC3!C89/TableC3!$C$91</f>
        <v>31325.392518483663</v>
      </c>
      <c r="O100" s="282">
        <f>1000*C105*TableC3!D89/TableC3!$C$91</f>
        <v>3900.7641833621278</v>
      </c>
      <c r="P100" s="286">
        <f>1000*C105*TableC3!E89/TableC3!$C$91</f>
        <v>811.37999034403572</v>
      </c>
      <c r="Q100" s="286">
        <f>1000*C105*TableC3!F89/TableC3!$C$91</f>
        <v>75.52230297891721</v>
      </c>
      <c r="R100" s="286">
        <f>1000*C105*TableC3!G89/TableC3!$C$91</f>
        <v>24.98986651557718</v>
      </c>
      <c r="S100" s="285">
        <f>1000*C105*TableC3!H89/TableC3!$C$91</f>
        <v>2343.0488225668792</v>
      </c>
      <c r="T100" s="285">
        <f>1000*C105*TableC3!I89/TableC3!$C$91</f>
        <v>24.341121851109047</v>
      </c>
      <c r="U100" s="285">
        <f>1000*C105*TableC3!J89/TableC3!$C$91</f>
        <v>621.4820791056095</v>
      </c>
      <c r="V100" s="280">
        <f>1000*C105*TableC3!K89/TableC3!$C$91</f>
        <v>27424.628335121528</v>
      </c>
      <c r="W100" s="279">
        <f>1000*C105*TableC3!L89/TableC3!$C$91</f>
        <v>0</v>
      </c>
      <c r="X100" s="278">
        <f>1000*C105*TableC3!M89/TableC3!$C$91</f>
        <v>27424.628335121473</v>
      </c>
    </row>
    <row r="101" spans="2:24" ht="40" hidden="1" customHeight="1" x14ac:dyDescent="0.35">
      <c r="B101" s="276"/>
      <c r="C101" s="287"/>
      <c r="D101" s="272">
        <f>1000*C105*(TableC2!E99+TableC2!P99)/(TableC2!$D$100+TableC2!$O$100)</f>
        <v>553714.26296330383</v>
      </c>
      <c r="E101" s="275">
        <f>1000*C105*(TableC2!F99+TableC2!Q99)/(TableC2!$D$100+TableC2!$O$100)</f>
        <v>57262.243298283051</v>
      </c>
      <c r="F101" s="269">
        <f>1000*C105*(TableC2!G99+TableC2!R99)/(TableC2!$D$100+TableC2!$O$100)</f>
        <v>4202.3451432788215</v>
      </c>
      <c r="G101" s="269">
        <f>1000*C105*(TableC2!H99+TableC2!S99)/(TableC2!$D$100+TableC2!$O$100)</f>
        <v>176808.70617364164</v>
      </c>
      <c r="H101" s="269">
        <f>1000*C105*(TableC2!I99+TableC2!T99)/(TableC2!$D$100+TableC2!$O$100)</f>
        <v>125138.94058330148</v>
      </c>
      <c r="I101" s="269">
        <f>1000*C105*(TableC2!J99+TableC2!U99)/(TableC2!$D$100+TableC2!$O$100)</f>
        <v>14927.862345040887</v>
      </c>
      <c r="J101" s="269">
        <f>1000*C105*(TableC2!K99+TableC2!V99)/(TableC2!$D$100+TableC2!$O$100)</f>
        <v>175374.1654197578</v>
      </c>
      <c r="K101" s="272">
        <f>1000*C105*(TableC2!L99+TableC2!W99)/(TableC2!$D$100+TableC2!$O$100)</f>
        <v>747701.3189494902</v>
      </c>
      <c r="L101" s="275">
        <f>1000*C105*(TableC2!M99+TableC2!X99)/(TableC2!$D$100+TableC2!$O$100)</f>
        <v>89722.85017549117</v>
      </c>
      <c r="M101" s="274">
        <f>1000*C105*(TableC2!N99+TableC2!Y99)/(TableC2!$D$100+TableC2!$O$100)</f>
        <v>659391.32016846188</v>
      </c>
      <c r="N101" s="273">
        <f>1000*C105*TableC3!C90/TableC3!$C$91</f>
        <v>1364698.5965437244</v>
      </c>
      <c r="O101" s="272">
        <f>1000*C105*TableC3!D90/TableC3!$C$91</f>
        <v>722121.22844613553</v>
      </c>
      <c r="P101" s="268">
        <f>1000*C105*TableC3!E90/TableC3!$C$91</f>
        <v>112414.93086045433</v>
      </c>
      <c r="Q101" s="269">
        <f>1000*C105*TableC3!F90/TableC3!$C$91</f>
        <v>5565.0993612988304</v>
      </c>
      <c r="R101" s="269">
        <f>1000*C105*TableC3!G90/TableC3!$C$91</f>
        <v>146974.95373034253</v>
      </c>
      <c r="S101" s="269">
        <f>1000*C105*TableC3!H90/TableC3!$C$91</f>
        <v>108693.7109111068</v>
      </c>
      <c r="T101" s="269">
        <f>1000*C105*TableC3!I90/TableC3!$C$91</f>
        <v>775.24168576622094</v>
      </c>
      <c r="U101" s="274">
        <f>1000*C105*TableC3!J90/TableC3!$C$91</f>
        <v>347697.29189716687</v>
      </c>
      <c r="V101" s="269">
        <f>1000*C105*TableC3!K90/TableC3!$C$91</f>
        <v>642577.368097589</v>
      </c>
      <c r="W101" s="268">
        <f>1000*C105*TableC3!L90/TableC3!$C$91</f>
        <v>246985.212289633</v>
      </c>
      <c r="X101" s="267">
        <f>1000*C105*TableC3!M90/TableC3!$C$91</f>
        <v>395592.15580795601</v>
      </c>
    </row>
    <row r="102" spans="2:24" ht="40" customHeight="1" thickBot="1" x14ac:dyDescent="0.4">
      <c r="B102" s="264" t="str">
        <f>+TableC3!B91</f>
        <v>Non-haven total</v>
      </c>
      <c r="C102" s="345">
        <f>1000*C105*(TableC2!D100+TableC2!O100)/(TableC2!$D$100+TableC2!$O$100)</f>
        <v>969218.74060607841</v>
      </c>
      <c r="D102" s="262">
        <f>1000*C105*(TableC2!E100+TableC2!P100)/(TableC2!$D$100+TableC2!$O$100)</f>
        <v>426887.8964152328</v>
      </c>
      <c r="E102" s="259">
        <f>1000*C105*(TableC2!F100+TableC2!Q100)/(TableC2!$D$100+TableC2!$O$100)</f>
        <v>37891.498560984677</v>
      </c>
      <c r="F102" s="260">
        <f>1000*C105*(TableC2!G100+TableC2!R100)/(TableC2!$D$100+TableC2!$O$100)</f>
        <v>4008.2500854770947</v>
      </c>
      <c r="G102" s="260">
        <f>1000*C105*(TableC2!H100+TableC2!S100)/(TableC2!$D$100+TableC2!$O$100)</f>
        <v>152853.81393730533</v>
      </c>
      <c r="H102" s="260">
        <f>1000*C105*(TableC2!I100+TableC2!T100)/(TableC2!$D$100+TableC2!$O$100)</f>
        <v>101790.70413181995</v>
      </c>
      <c r="I102" s="260">
        <f>1000*C105*(TableC2!J100+TableC2!U100)/(TableC2!$D$100+TableC2!$O$100)</f>
        <v>12555.576252475654</v>
      </c>
      <c r="J102" s="260">
        <f>1000*C105*(TableC2!K100+TableC2!V100)/(TableC2!$D$100+TableC2!$O$100)</f>
        <v>117788.0534471701</v>
      </c>
      <c r="K102" s="262">
        <f>1000*C105*(TableC2!L100+TableC2!W100)/(TableC2!$D$100+TableC2!$O$100)</f>
        <v>542330.84419084573</v>
      </c>
      <c r="L102" s="259">
        <f>1000*C105*(TableC2!M100+TableC2!X100)/(TableC2!$D$100+TableC2!$O$100)</f>
        <v>63608.102755259308</v>
      </c>
      <c r="M102" s="261">
        <f>1000*C105*(TableC2!N100+TableC2!Y100)/(TableC2!$D$100+TableC2!$O$100)</f>
        <v>478722.74143558642</v>
      </c>
      <c r="N102" s="263">
        <f>1000*C105*TableC3!C91/TableC3!$C$91</f>
        <v>969218.74060607841</v>
      </c>
      <c r="O102" s="262">
        <f>1000*C105*TableC3!D91/TableC3!$C$91</f>
        <v>519331.38930181012</v>
      </c>
      <c r="P102" s="259">
        <f>1000*C105*TableC3!E91/TableC3!$C$91</f>
        <v>68456.067387862699</v>
      </c>
      <c r="Q102" s="260">
        <f>1000*C105*TableC3!F91/TableC3!$C$91</f>
        <v>3767.8382708612185</v>
      </c>
      <c r="R102" s="260">
        <f>1000*C105*TableC3!G91/TableC3!$C$91</f>
        <v>124044.8729838399</v>
      </c>
      <c r="S102" s="260">
        <f>1000*C105*TableC3!H91/TableC3!$C$91</f>
        <v>74131.363094610977</v>
      </c>
      <c r="T102" s="260">
        <f>1000*C105*TableC3!I91/TableC3!$C$91</f>
        <v>179.17059574848855</v>
      </c>
      <c r="U102" s="261">
        <f>1000*C105*TableC3!J91/TableC3!$C$91</f>
        <v>248752.07696888689</v>
      </c>
      <c r="V102" s="260">
        <f>1000*C105*TableC3!K91/TableC3!$C$91</f>
        <v>449887.35130426829</v>
      </c>
      <c r="W102" s="259">
        <f>1000*C105*TableC3!L91/TableC3!$C$91</f>
        <v>206280.52057170347</v>
      </c>
      <c r="X102" s="258">
        <f>1000*C105*TableC3!M91/TableC3!$C$91</f>
        <v>243606.83073256476</v>
      </c>
    </row>
    <row r="103" spans="2:24" s="257" customFormat="1" ht="16" thickTop="1" x14ac:dyDescent="0.35">
      <c r="D103" s="253"/>
      <c r="E103" s="253"/>
      <c r="F103" s="253"/>
      <c r="G103" s="253"/>
      <c r="H103" s="253"/>
      <c r="I103" s="253"/>
      <c r="J103" s="253"/>
      <c r="K103" s="253"/>
      <c r="L103" s="253"/>
      <c r="M103" s="253"/>
      <c r="O103" s="253"/>
      <c r="P103" s="253"/>
      <c r="Q103" s="253"/>
      <c r="R103" s="253"/>
      <c r="S103" s="253"/>
      <c r="T103" s="253"/>
      <c r="U103" s="253"/>
      <c r="V103" s="253"/>
      <c r="W103" s="253"/>
      <c r="X103" s="253"/>
    </row>
    <row r="105" spans="2:24" x14ac:dyDescent="0.35">
      <c r="C105" s="253">
        <f>+'Table U1'!$AD$90</f>
        <v>969.21874060607843</v>
      </c>
    </row>
  </sheetData>
  <mergeCells count="9">
    <mergeCell ref="B5:X5"/>
    <mergeCell ref="C7:M7"/>
    <mergeCell ref="N7:X7"/>
    <mergeCell ref="D8:D9"/>
    <mergeCell ref="K8:K9"/>
    <mergeCell ref="O8:O9"/>
    <mergeCell ref="V8:V9"/>
    <mergeCell ref="C8:C9"/>
    <mergeCell ref="N8:N9"/>
  </mergeCells>
  <pageMargins left="0.7" right="0.7" top="0.75" bottom="0.75" header="0.3" footer="0.3"/>
  <pageSetup scale="3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61B85-C8DD-4938-957F-A2733A587A4D}">
  <sheetPr>
    <pageSetUpPr fitToPage="1"/>
  </sheetPr>
  <dimension ref="B3:H18"/>
  <sheetViews>
    <sheetView tabSelected="1" zoomScale="70" zoomScaleNormal="70" workbookViewId="0">
      <selection activeCell="B27" sqref="B27"/>
    </sheetView>
  </sheetViews>
  <sheetFormatPr defaultRowHeight="14.5" outlineLevelRow="1" x14ac:dyDescent="0.35"/>
  <cols>
    <col min="1" max="1" width="8.7265625" style="672"/>
    <col min="2" max="2" width="67" style="672" customWidth="1"/>
    <col min="3" max="7" width="18.6328125" style="672" customWidth="1"/>
    <col min="8" max="8" width="31.7265625" style="672" customWidth="1"/>
    <col min="9" max="16384" width="8.7265625" style="672"/>
  </cols>
  <sheetData>
    <row r="3" spans="2:8" ht="15" thickBot="1" x14ac:dyDescent="0.4">
      <c r="B3" s="671"/>
      <c r="C3" s="671"/>
      <c r="D3" s="671"/>
      <c r="E3" s="671"/>
      <c r="F3" s="671"/>
      <c r="G3" s="671"/>
      <c r="H3" s="671"/>
    </row>
    <row r="4" spans="2:8" ht="72.5" customHeight="1" thickTop="1" x14ac:dyDescent="0.35">
      <c r="B4" s="673" t="s">
        <v>494</v>
      </c>
      <c r="C4" s="674">
        <v>2015</v>
      </c>
      <c r="D4" s="674">
        <v>2016</v>
      </c>
      <c r="E4" s="674">
        <v>2017</v>
      </c>
      <c r="F4" s="674">
        <v>2018</v>
      </c>
      <c r="G4" s="675">
        <v>2019</v>
      </c>
      <c r="H4" s="676" t="s">
        <v>495</v>
      </c>
    </row>
    <row r="5" spans="2:8" ht="28.5" x14ac:dyDescent="0.35">
      <c r="B5" s="677" t="s">
        <v>496</v>
      </c>
      <c r="C5" s="678">
        <v>75179.266270828288</v>
      </c>
      <c r="D5" s="678">
        <v>76465.590005079022</v>
      </c>
      <c r="E5" s="678">
        <v>81403.977427442573</v>
      </c>
      <c r="F5" s="678">
        <v>86413.032779059969</v>
      </c>
      <c r="G5" s="679">
        <v>87652.863215992649</v>
      </c>
      <c r="H5" s="680">
        <f>+G5/C5-1</f>
        <v>0.16591804581104941</v>
      </c>
    </row>
    <row r="6" spans="2:8" ht="28.5" x14ac:dyDescent="0.35">
      <c r="B6" s="677" t="s">
        <v>497</v>
      </c>
      <c r="C6" s="678">
        <v>11515</v>
      </c>
      <c r="D6" s="678">
        <v>12275</v>
      </c>
      <c r="E6" s="678">
        <v>13022</v>
      </c>
      <c r="F6" s="678">
        <v>14068</v>
      </c>
      <c r="G6" s="679">
        <v>14472</v>
      </c>
      <c r="H6" s="681">
        <f>+G6/C6-1</f>
        <v>0.25679548415110731</v>
      </c>
    </row>
    <row r="7" spans="2:8" ht="28.5" x14ac:dyDescent="0.35">
      <c r="B7" s="682" t="s">
        <v>498</v>
      </c>
      <c r="C7" s="683">
        <f>+C8/C9</f>
        <v>1703.2290592571799</v>
      </c>
      <c r="D7" s="683">
        <f>+D8/D9</f>
        <v>1840.9666013593485</v>
      </c>
      <c r="E7" s="683">
        <f>+E8/E9</f>
        <v>2060.6579065484198</v>
      </c>
      <c r="F7" s="683">
        <f>+F8/F9</f>
        <v>2654.9740056700621</v>
      </c>
      <c r="G7" s="684">
        <f>+G8/G9</f>
        <v>2590.0443113693441</v>
      </c>
      <c r="H7" s="681">
        <f>+G7/C7-1</f>
        <v>0.52066705138234681</v>
      </c>
    </row>
    <row r="8" spans="2:8" ht="28.5" x14ac:dyDescent="0.35">
      <c r="B8" s="677" t="s">
        <v>499</v>
      </c>
      <c r="C8" s="678">
        <v>616.46162984891726</v>
      </c>
      <c r="D8" s="678">
        <v>666.88203228117322</v>
      </c>
      <c r="E8" s="678">
        <v>741.33904188818406</v>
      </c>
      <c r="F8" s="678">
        <v>946.206407625888</v>
      </c>
      <c r="G8" s="685">
        <v>969.21874060607843</v>
      </c>
      <c r="H8" s="681">
        <f>+G8/C8-1</f>
        <v>0.57222881956759419</v>
      </c>
    </row>
    <row r="9" spans="2:8" ht="28.5" x14ac:dyDescent="0.35">
      <c r="B9" s="677" t="s">
        <v>500</v>
      </c>
      <c r="C9" s="686">
        <v>0.3619370081190203</v>
      </c>
      <c r="D9" s="686">
        <v>0.36224558978351656</v>
      </c>
      <c r="E9" s="686">
        <v>0.35975842449750389</v>
      </c>
      <c r="F9" s="686">
        <v>0.35639008352064244</v>
      </c>
      <c r="G9" s="687">
        <v>0.37420932775225652</v>
      </c>
      <c r="H9" s="688" t="s">
        <v>501</v>
      </c>
    </row>
    <row r="10" spans="2:8" ht="28.5" x14ac:dyDescent="0.35">
      <c r="B10" s="677" t="s">
        <v>502</v>
      </c>
      <c r="C10" s="689">
        <v>188</v>
      </c>
      <c r="D10" s="690">
        <v>194.55151429552814</v>
      </c>
      <c r="E10" s="690">
        <v>211.76910384387639</v>
      </c>
      <c r="F10" s="690">
        <v>242.88342258120588</v>
      </c>
      <c r="G10" s="685">
        <v>246.79318540986088</v>
      </c>
      <c r="H10" s="691">
        <f>+G10/C10-1</f>
        <v>0.31272970962691948</v>
      </c>
    </row>
    <row r="11" spans="2:8" ht="39" customHeight="1" thickBot="1" x14ac:dyDescent="0.4">
      <c r="B11" s="692" t="s">
        <v>429</v>
      </c>
      <c r="C11" s="693">
        <v>0.09</v>
      </c>
      <c r="D11" s="693">
        <v>8.8279246563469235E-2</v>
      </c>
      <c r="E11" s="693">
        <v>8.9892875696098218E-2</v>
      </c>
      <c r="F11" s="693">
        <v>9.9017331291928773E-2</v>
      </c>
      <c r="G11" s="694">
        <v>0.10003235676728385</v>
      </c>
      <c r="H11" s="695" t="s">
        <v>503</v>
      </c>
    </row>
    <row r="12" spans="2:8" ht="15" thickTop="1" x14ac:dyDescent="0.35"/>
    <row r="15" spans="2:8" hidden="1" outlineLevel="1" x14ac:dyDescent="0.35">
      <c r="B15" s="672" t="s">
        <v>504</v>
      </c>
      <c r="C15" s="672">
        <v>17.047442363087278</v>
      </c>
      <c r="D15" s="672">
        <v>17.064440194124401</v>
      </c>
      <c r="E15" s="672">
        <v>16.938735178395316</v>
      </c>
      <c r="F15" s="672">
        <v>17.236719819218727</v>
      </c>
      <c r="G15" s="672">
        <v>17.434189233963973</v>
      </c>
    </row>
    <row r="16" spans="2:8" hidden="1" outlineLevel="1" x14ac:dyDescent="0.35">
      <c r="B16" s="672" t="s">
        <v>505</v>
      </c>
      <c r="C16" s="672">
        <f>+C6/(C5*(1-C15%))</f>
        <v>0.18464437358793825</v>
      </c>
      <c r="D16" s="672">
        <f t="shared" ref="D16:G16" si="0">+D6/(D5*(1-D15%))</f>
        <v>0.19355958240831084</v>
      </c>
      <c r="E16" s="672">
        <f t="shared" si="0"/>
        <v>0.19258990801824963</v>
      </c>
      <c r="F16" s="672">
        <f t="shared" si="0"/>
        <v>0.19670500813489464</v>
      </c>
      <c r="G16" s="672">
        <f t="shared" si="0"/>
        <v>0.19996877996009457</v>
      </c>
    </row>
    <row r="17" spans="2:7" hidden="1" outlineLevel="1" x14ac:dyDescent="0.35">
      <c r="B17" s="672" t="s">
        <v>506</v>
      </c>
      <c r="C17" s="672">
        <f>+C7/C6</f>
        <v>0.14791394348737993</v>
      </c>
      <c r="D17" s="672">
        <f>+D7/D6</f>
        <v>0.14997691253436649</v>
      </c>
      <c r="E17" s="672">
        <f>+E7/E6</f>
        <v>0.15824434852929042</v>
      </c>
      <c r="F17" s="672">
        <f>+F7/F6</f>
        <v>0.18872433932826713</v>
      </c>
      <c r="G17" s="672">
        <f>+G7/G6</f>
        <v>0.17896934158162964</v>
      </c>
    </row>
    <row r="18" spans="2:7" collapsed="1" x14ac:dyDescent="0.35"/>
  </sheetData>
  <pageMargins left="0.7" right="0.7" top="0.75" bottom="0.75" header="0.3" footer="0.3"/>
  <pageSetup paperSize="9" scale="6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pageSetUpPr fitToPage="1"/>
  </sheetPr>
  <dimension ref="A2:R97"/>
  <sheetViews>
    <sheetView workbookViewId="0">
      <pane xSplit="2" ySplit="10" topLeftCell="C95" activePane="bottomRight" state="frozen"/>
      <selection activeCell="G29" sqref="G29"/>
      <selection pane="topRight" activeCell="G29" sqref="G29"/>
      <selection pane="bottomLeft" activeCell="G29" sqref="G29"/>
      <selection pane="bottomRight" activeCell="D18" sqref="D18"/>
    </sheetView>
  </sheetViews>
  <sheetFormatPr defaultColWidth="10.81640625" defaultRowHeight="15.5" x14ac:dyDescent="0.35"/>
  <cols>
    <col min="1" max="1" width="17.453125" style="253" hidden="1" customWidth="1"/>
    <col min="2" max="2" width="19" style="253" customWidth="1"/>
    <col min="3" max="8" width="13" style="253" customWidth="1"/>
    <col min="9" max="11" width="19.6328125" style="253" customWidth="1"/>
    <col min="12" max="12" width="10.81640625" style="253"/>
    <col min="13" max="13" width="19.453125" style="253" customWidth="1"/>
    <col min="14" max="14" width="13.6328125" style="253" customWidth="1"/>
    <col min="15" max="16384" width="10.81640625" style="253"/>
  </cols>
  <sheetData>
    <row r="2" spans="2:18" ht="16" thickBot="1" x14ac:dyDescent="0.4"/>
    <row r="3" spans="2:18" ht="16" hidden="1" thickBot="1" x14ac:dyDescent="0.4"/>
    <row r="4" spans="2:18" ht="32" customHeight="1" thickTop="1" x14ac:dyDescent="0.35">
      <c r="B4" s="618" t="s">
        <v>417</v>
      </c>
      <c r="C4" s="619"/>
      <c r="D4" s="619"/>
      <c r="E4" s="619"/>
      <c r="F4" s="619"/>
      <c r="G4" s="619"/>
      <c r="H4" s="620"/>
      <c r="I4" s="373"/>
      <c r="J4" s="373"/>
      <c r="K4" s="373"/>
    </row>
    <row r="5" spans="2:18" ht="15" customHeight="1" x14ac:dyDescent="0.35">
      <c r="B5" s="333"/>
      <c r="C5" s="373"/>
      <c r="D5" s="373"/>
      <c r="E5" s="373"/>
      <c r="F5" s="373"/>
      <c r="G5" s="373"/>
      <c r="H5" s="374"/>
      <c r="I5" s="373"/>
      <c r="J5" s="373"/>
      <c r="K5" s="373"/>
    </row>
    <row r="6" spans="2:18" ht="13" customHeight="1" x14ac:dyDescent="0.35">
      <c r="B6" s="333"/>
      <c r="C6" s="4" t="s">
        <v>1</v>
      </c>
      <c r="D6" s="4" t="s">
        <v>2</v>
      </c>
      <c r="E6" s="4" t="s">
        <v>3</v>
      </c>
      <c r="F6" s="4" t="s">
        <v>4</v>
      </c>
      <c r="G6" s="4" t="s">
        <v>5</v>
      </c>
      <c r="H6" s="332" t="s">
        <v>6</v>
      </c>
      <c r="I6" s="373"/>
      <c r="J6" s="373"/>
      <c r="K6" s="373"/>
    </row>
    <row r="7" spans="2:18" ht="32" customHeight="1" x14ac:dyDescent="0.35">
      <c r="B7" s="333"/>
      <c r="C7" s="640" t="s">
        <v>416</v>
      </c>
      <c r="D7" s="641"/>
      <c r="E7" s="641"/>
      <c r="F7" s="641"/>
      <c r="G7" s="641"/>
      <c r="H7" s="642"/>
      <c r="I7" s="373"/>
      <c r="J7" s="373"/>
      <c r="K7" s="373"/>
    </row>
    <row r="8" spans="2:18" ht="21" customHeight="1" x14ac:dyDescent="0.35">
      <c r="B8" s="297"/>
      <c r="C8" s="623" t="s">
        <v>415</v>
      </c>
      <c r="D8" s="624" t="s">
        <v>410</v>
      </c>
      <c r="E8" s="624"/>
      <c r="F8" s="637" t="s">
        <v>414</v>
      </c>
      <c r="G8" s="624" t="s">
        <v>410</v>
      </c>
      <c r="H8" s="626"/>
      <c r="I8" s="372"/>
      <c r="J8" s="372"/>
      <c r="K8" s="372"/>
    </row>
    <row r="9" spans="2:18" ht="85" customHeight="1" x14ac:dyDescent="0.35">
      <c r="B9" s="297"/>
      <c r="C9" s="638" t="s">
        <v>398</v>
      </c>
      <c r="D9" s="370" t="s">
        <v>397</v>
      </c>
      <c r="E9" s="371" t="s">
        <v>396</v>
      </c>
      <c r="F9" s="638" t="s">
        <v>398</v>
      </c>
      <c r="G9" s="370" t="s">
        <v>397</v>
      </c>
      <c r="H9" s="369" t="s">
        <v>396</v>
      </c>
      <c r="I9" s="365"/>
      <c r="J9" s="365"/>
      <c r="K9" s="365"/>
    </row>
    <row r="10" spans="2:18" ht="33" customHeight="1" x14ac:dyDescent="0.35">
      <c r="B10" s="297"/>
      <c r="C10" s="639"/>
      <c r="D10" s="367"/>
      <c r="E10" s="368"/>
      <c r="F10" s="639"/>
      <c r="G10" s="367"/>
      <c r="H10" s="366"/>
      <c r="I10" s="365"/>
      <c r="J10" s="365"/>
      <c r="K10" s="365"/>
    </row>
    <row r="11" spans="2:18" ht="40" customHeight="1" x14ac:dyDescent="0.35">
      <c r="B11" s="327" t="s">
        <v>31</v>
      </c>
      <c r="C11" s="363">
        <f>+TableC4!C10/TableC4!$C$102</f>
        <v>0.64789049988696057</v>
      </c>
      <c r="D11" s="362">
        <f>+SUM(D12:D46)</f>
        <v>0.36010529692806703</v>
      </c>
      <c r="E11" s="364">
        <f>+SUM(E12:E46)</f>
        <v>0.28778520295889354</v>
      </c>
      <c r="F11" s="363">
        <f>+SUM(F12:F46)</f>
        <v>0.86505774372437672</v>
      </c>
      <c r="G11" s="362">
        <f>+SUM(G12:G46)</f>
        <v>0.52085086655175883</v>
      </c>
      <c r="H11" s="361">
        <f>+SUM(H12:H46)</f>
        <v>0.34420687717261789</v>
      </c>
      <c r="I11" s="53"/>
      <c r="J11" s="53"/>
      <c r="K11" s="53"/>
    </row>
    <row r="12" spans="2:18" x14ac:dyDescent="0.35">
      <c r="B12" s="311" t="s">
        <v>32</v>
      </c>
      <c r="C12" s="39">
        <f>(TableC2!D9+TableC2!O9)/(TableC2!$D$100+TableC2!$O$100)</f>
        <v>3.1197973807018189E-2</v>
      </c>
      <c r="D12" s="359">
        <f>(TableC2!E9+TableC2!P9)/(TableC2!$D$100+TableC2!$O$100)</f>
        <v>7.9394593193612521E-3</v>
      </c>
      <c r="E12" s="360">
        <f>(TableC2!L9+TableC2!W9)/(TableC2!$D$100+TableC2!$O$100)</f>
        <v>2.3258514487656937E-2</v>
      </c>
      <c r="F12" s="39">
        <f>TableC3!C9/TableC3!$C$91</f>
        <v>2.8404206518584008E-3</v>
      </c>
      <c r="G12" s="359">
        <f>TableC3!D9/TableC3!$C$91</f>
        <v>-2.5196647000411961E-4</v>
      </c>
      <c r="H12" s="358">
        <f>TableC3!K9/TableC3!$C$91</f>
        <v>3.0923871218625203E-3</v>
      </c>
      <c r="I12" s="56"/>
    </row>
    <row r="13" spans="2:18" x14ac:dyDescent="0.35">
      <c r="B13" s="311" t="s">
        <v>33</v>
      </c>
      <c r="C13" s="39">
        <f>(TableC2!D10+TableC2!O10)/(TableC2!$D$100+TableC2!$O$100)</f>
        <v>4.8682697000003222E-3</v>
      </c>
      <c r="D13" s="359">
        <f>(TableC2!E10+TableC2!P10)/(TableC2!$D$100+TableC2!$O$100)</f>
        <v>3.6710809327198126E-3</v>
      </c>
      <c r="E13" s="360">
        <f>(TableC2!L10+TableC2!W10)/(TableC2!$D$100+TableC2!$O$100)</f>
        <v>1.1971887672805094E-3</v>
      </c>
      <c r="F13" s="39">
        <f>TableC3!C10/TableC3!$C$91</f>
        <v>3.6145624085180085E-3</v>
      </c>
      <c r="G13" s="359">
        <f>TableC3!D10/TableC3!$C$91</f>
        <v>6.0140321530970813E-4</v>
      </c>
      <c r="H13" s="358">
        <f>TableC3!K10/TableC3!$C$91</f>
        <v>3.0131591932083001E-3</v>
      </c>
      <c r="I13" s="56"/>
    </row>
    <row r="14" spans="2:18" x14ac:dyDescent="0.35">
      <c r="B14" s="311" t="s">
        <v>34</v>
      </c>
      <c r="C14" s="39"/>
      <c r="D14" s="359"/>
      <c r="E14" s="360"/>
      <c r="F14" s="39"/>
      <c r="G14" s="359"/>
      <c r="H14" s="358"/>
      <c r="I14" s="56"/>
      <c r="P14" s="49"/>
    </row>
    <row r="15" spans="2:18" x14ac:dyDescent="0.35">
      <c r="B15" s="311" t="s">
        <v>35</v>
      </c>
      <c r="C15" s="39">
        <f>(TableC2!D12+TableC2!O12)/(TableC2!$D$100+TableC2!$O$100)</f>
        <v>2.6634138166409679E-2</v>
      </c>
      <c r="D15" s="359">
        <f>(TableC2!E12+TableC2!P12)/(TableC2!$D$100+TableC2!$O$100)</f>
        <v>4.5528051777302438E-3</v>
      </c>
      <c r="E15" s="360">
        <f>(TableC2!L12+TableC2!W12)/(TableC2!$D$100+TableC2!$O$100)</f>
        <v>2.2081332988679436E-2</v>
      </c>
      <c r="F15" s="39">
        <f>TableC3!C12/TableC3!$C$91</f>
        <v>2.6650346645084155E-2</v>
      </c>
      <c r="G15" s="359">
        <f>TableC3!D12/TableC3!$C$91</f>
        <v>6.9912959887628153E-3</v>
      </c>
      <c r="H15" s="358">
        <f>TableC3!K12/TableC3!$C$91</f>
        <v>1.9659050656321338E-2</v>
      </c>
      <c r="I15" s="56"/>
      <c r="P15" s="49"/>
    </row>
    <row r="16" spans="2:18" x14ac:dyDescent="0.35">
      <c r="B16" s="311" t="s">
        <v>36</v>
      </c>
      <c r="C16" s="39">
        <f>(TableC2!D13+TableC2!O13)/(TableC2!$D$100+TableC2!$O$100)</f>
        <v>9.4031513781095751E-3</v>
      </c>
      <c r="D16" s="359">
        <f>(TableC2!E13+TableC2!P13)/(TableC2!$D$100+TableC2!$O$100)</f>
        <v>1.2086222981547582E-3</v>
      </c>
      <c r="E16" s="360">
        <f>(TableC2!L13+TableC2!W13)/(TableC2!$D$100+TableC2!$O$100)</f>
        <v>8.1945290799548161E-3</v>
      </c>
      <c r="F16" s="39">
        <f>TableC3!C13/TableC3!$C$91</f>
        <v>-1.6942126680622059E-4</v>
      </c>
      <c r="G16" s="359">
        <f>TableC3!D13/TableC3!$C$91</f>
        <v>-1.9748978475139494E-4</v>
      </c>
      <c r="H16" s="358">
        <f>TableC3!K13/TableC3!$C$91</f>
        <v>2.8068517945174332E-5</v>
      </c>
      <c r="I16" s="56"/>
      <c r="P16" s="265"/>
      <c r="R16" s="265"/>
    </row>
    <row r="17" spans="1:11" x14ac:dyDescent="0.35">
      <c r="B17" s="311" t="s">
        <v>37</v>
      </c>
      <c r="C17" s="39">
        <f>(TableC2!D14+TableC2!O14)/(TableC2!$D$100+TableC2!$O$100)</f>
        <v>2.8867824854196815E-3</v>
      </c>
      <c r="D17" s="359">
        <f>(TableC2!E14+TableC2!P14)/(TableC2!$D$100+TableC2!$O$100)</f>
        <v>2.3651698976742564E-3</v>
      </c>
      <c r="E17" s="360">
        <f>(TableC2!L14+TableC2!W14)/(TableC2!$D$100+TableC2!$O$100)</f>
        <v>5.2161258774542478E-4</v>
      </c>
      <c r="F17" s="39">
        <f>TableC3!C14/TableC3!$C$91</f>
        <v>7.6599920805821666E-4</v>
      </c>
      <c r="G17" s="359">
        <f>TableC3!D14/TableC3!$C$91</f>
        <v>7.6578137957773165E-4</v>
      </c>
      <c r="H17" s="358">
        <f>TableC3!K14/TableC3!$C$91</f>
        <v>2.178284804850922E-7</v>
      </c>
      <c r="I17" s="56"/>
    </row>
    <row r="18" spans="1:11" x14ac:dyDescent="0.35">
      <c r="B18" s="311" t="s">
        <v>38</v>
      </c>
      <c r="C18" s="39">
        <f>(TableC2!D15+TableC2!O15)/(TableC2!$D$100+TableC2!$O$100)</f>
        <v>5.7691515324907244E-3</v>
      </c>
      <c r="D18" s="359">
        <f>(TableC2!E15+TableC2!P15)/(TableC2!$D$100+TableC2!$O$100)</f>
        <v>5.013519093419916E-3</v>
      </c>
      <c r="E18" s="360">
        <f>(TableC2!L15+TableC2!W15)/(TableC2!$D$100+TableC2!$O$100)</f>
        <v>7.5563243907080858E-4</v>
      </c>
      <c r="F18" s="39">
        <f>TableC3!C15/TableC3!$C$91</f>
        <v>5.8962721771943895E-3</v>
      </c>
      <c r="G18" s="359">
        <f>TableC3!D15/TableC3!$C$91</f>
        <v>3.43131694936655E-3</v>
      </c>
      <c r="H18" s="358">
        <f>TableC3!K15/TableC3!$C$91</f>
        <v>2.4649552278278399E-3</v>
      </c>
      <c r="I18" s="56"/>
    </row>
    <row r="19" spans="1:11" x14ac:dyDescent="0.35">
      <c r="B19" s="321" t="s">
        <v>39</v>
      </c>
      <c r="C19" s="39">
        <f>(TableC2!D16+TableC2!O16)/(TableC2!$D$100+TableC2!$O$100)</f>
        <v>4.2104511420015204E-4</v>
      </c>
      <c r="D19" s="359">
        <f>(TableC2!E16+TableC2!P16)/(TableC2!$D$100+TableC2!$O$100)</f>
        <v>3.3404189089923761E-4</v>
      </c>
      <c r="E19" s="360">
        <f>(TableC2!L16+TableC2!W16)/(TableC2!$D$100+TableC2!$O$100)</f>
        <v>8.7003223300914469E-5</v>
      </c>
      <c r="F19" s="39">
        <f>TableC3!C16/TableC3!$C$91</f>
        <v>-6.5788442055548207E-6</v>
      </c>
      <c r="G19" s="359">
        <f>TableC3!D16/TableC3!$C$91</f>
        <v>-6.5788442055548207E-6</v>
      </c>
      <c r="H19" s="358">
        <f>TableC3!K16/TableC3!$C$91</f>
        <v>0</v>
      </c>
      <c r="I19" s="56"/>
      <c r="J19" s="56"/>
      <c r="K19" s="56"/>
    </row>
    <row r="20" spans="1:11" x14ac:dyDescent="0.35">
      <c r="B20" s="311" t="s">
        <v>40</v>
      </c>
      <c r="C20" s="39">
        <f>(TableC2!D17+TableC2!O17)/(TableC2!$D$100+TableC2!$O$100)</f>
        <v>4.9196546791332382E-3</v>
      </c>
      <c r="D20" s="359">
        <f>(TableC2!E17+TableC2!P17)/(TableC2!$D$100+TableC2!$O$100)</f>
        <v>4.0164125000087857E-3</v>
      </c>
      <c r="E20" s="360">
        <f>(TableC2!L17+TableC2!W17)/(TableC2!$D$100+TableC2!$O$100)</f>
        <v>9.0324217912445188E-4</v>
      </c>
      <c r="F20" s="39">
        <f>TableC3!C17/TableC3!$C$91</f>
        <v>3.6656033683078785E-3</v>
      </c>
      <c r="G20" s="359">
        <f>TableC3!D17/TableC3!$C$91</f>
        <v>3.3101657497969189E-3</v>
      </c>
      <c r="H20" s="358">
        <f>TableC3!K17/TableC3!$C$91</f>
        <v>3.5543761851095952E-4</v>
      </c>
      <c r="I20" s="56"/>
      <c r="J20" s="56"/>
      <c r="K20" s="56"/>
    </row>
    <row r="21" spans="1:11" x14ac:dyDescent="0.35">
      <c r="B21" s="321" t="s">
        <v>41</v>
      </c>
      <c r="C21" s="39">
        <f>(TableC2!D18+TableC2!O18)/(TableC2!$D$100+TableC2!$O$100)</f>
        <v>4.3913238562606094E-2</v>
      </c>
      <c r="D21" s="359">
        <f>(TableC2!E18+TableC2!P18)/(TableC2!$D$100+TableC2!$O$100)</f>
        <v>3.6466743425466713E-2</v>
      </c>
      <c r="E21" s="360">
        <f>(TableC2!L18+TableC2!W18)/(TableC2!$D$100+TableC2!$O$100)</f>
        <v>7.4464951371393832E-3</v>
      </c>
      <c r="F21" s="39">
        <f>TableC3!C18/TableC3!$C$91</f>
        <v>0.10441825619376749</v>
      </c>
      <c r="G21" s="359">
        <f>TableC3!D18/TableC3!$C$91</f>
        <v>8.2532164381501433E-2</v>
      </c>
      <c r="H21" s="358">
        <f>TableC3!K18/TableC3!$C$91</f>
        <v>2.1886091812266056E-2</v>
      </c>
      <c r="I21" s="56"/>
      <c r="J21" s="56"/>
      <c r="K21" s="56"/>
    </row>
    <row r="22" spans="1:11" x14ac:dyDescent="0.35">
      <c r="B22" s="311" t="s">
        <v>42</v>
      </c>
      <c r="C22" s="39">
        <f>(TableC2!D19+TableC2!O19)/(TableC2!$D$100+TableC2!$O$100)</f>
        <v>7.7953265231249042E-2</v>
      </c>
      <c r="D22" s="359">
        <f>(TableC2!E19+TableC2!P19)/(TableC2!$D$100+TableC2!$O$100)</f>
        <v>6.5370212054117027E-2</v>
      </c>
      <c r="E22" s="360">
        <f>(TableC2!L19+TableC2!W19)/(TableC2!$D$100+TableC2!$O$100)</f>
        <v>1.2583053177132018E-2</v>
      </c>
      <c r="F22" s="39">
        <f>TableC3!C19/TableC3!$C$91</f>
        <v>5.7823145865388073E-2</v>
      </c>
      <c r="G22" s="359">
        <f>TableC3!D19/TableC3!$C$91</f>
        <v>4.1156945290732022E-2</v>
      </c>
      <c r="H22" s="358">
        <f>TableC3!K19/TableC3!$C$91</f>
        <v>1.6666200574656051E-2</v>
      </c>
      <c r="I22" s="56"/>
      <c r="J22" s="56"/>
      <c r="K22" s="56"/>
    </row>
    <row r="23" spans="1:11" x14ac:dyDescent="0.35">
      <c r="B23" s="311" t="s">
        <v>43</v>
      </c>
      <c r="C23" s="39">
        <f>(TableC2!D20+TableC2!O20)/(TableC2!$D$100+TableC2!$O$100)</f>
        <v>1.9828122292562685E-3</v>
      </c>
      <c r="D23" s="359">
        <f>(TableC2!E20+TableC2!P20)/(TableC2!$D$100+TableC2!$O$100)</f>
        <v>1.671445470165632E-3</v>
      </c>
      <c r="E23" s="360">
        <f>(TableC2!L20+TableC2!W20)/(TableC2!$D$100+TableC2!$O$100)</f>
        <v>3.1136675909063626E-4</v>
      </c>
      <c r="F23" s="39">
        <f>TableC3!C20/TableC3!$C$91</f>
        <v>7.1306011159063653E-4</v>
      </c>
      <c r="G23" s="359">
        <f>TableC3!D20/TableC3!$C$91</f>
        <v>7.1176275979277384E-4</v>
      </c>
      <c r="H23" s="358">
        <f>TableC3!K20/TableC3!$C$91</f>
        <v>1.2973517978626554E-6</v>
      </c>
      <c r="I23" s="56"/>
      <c r="J23" s="56"/>
      <c r="K23" s="56"/>
    </row>
    <row r="24" spans="1:11" x14ac:dyDescent="0.35">
      <c r="B24" s="311" t="s">
        <v>44</v>
      </c>
      <c r="C24" s="39">
        <f>(TableC2!D21+TableC2!O21)/(TableC2!$D$100+TableC2!$O$100)</f>
        <v>5.9542473500265296E-3</v>
      </c>
      <c r="D24" s="359">
        <f>(TableC2!E21+TableC2!P21)/(TableC2!$D$100+TableC2!$O$100)</f>
        <v>5.1041270654653033E-3</v>
      </c>
      <c r="E24" s="360">
        <f>(TableC2!L21+TableC2!W21)/(TableC2!$D$100+TableC2!$O$100)</f>
        <v>8.5012028456122679E-4</v>
      </c>
      <c r="F24" s="39">
        <f>TableC3!C21/TableC3!$C$91</f>
        <v>8.1136048608404672E-4</v>
      </c>
      <c r="G24" s="359">
        <f>TableC3!D21/TableC3!$C$91</f>
        <v>8.00066392350301E-4</v>
      </c>
      <c r="H24" s="358">
        <f>TableC3!K21/TableC3!$C$91</f>
        <v>1.1294093733745736E-5</v>
      </c>
      <c r="I24" s="56"/>
      <c r="J24" s="56"/>
      <c r="K24" s="56"/>
    </row>
    <row r="25" spans="1:11" x14ac:dyDescent="0.35">
      <c r="B25" s="311" t="s">
        <v>45</v>
      </c>
      <c r="C25" s="39">
        <f>(TableC2!D22+TableC2!O22)/(TableC2!$D$100+TableC2!$O$100)</f>
        <v>6.797569667408098E-4</v>
      </c>
      <c r="D25" s="359">
        <f>(TableC2!E22+TableC2!P22)/(TableC2!$D$100+TableC2!$O$100)</f>
        <v>2.5590930254712035E-4</v>
      </c>
      <c r="E25" s="360">
        <f>(TableC2!L22+TableC2!W22)/(TableC2!$D$100+TableC2!$O$100)</f>
        <v>4.2384766419368929E-4</v>
      </c>
      <c r="F25" s="39">
        <f>TableC3!C22/TableC3!$C$91</f>
        <v>2.2230156226074102E-5</v>
      </c>
      <c r="G25" s="359">
        <f>TableC3!D22/TableC3!$C$91</f>
        <v>2.1116591630353685E-5</v>
      </c>
      <c r="H25" s="358">
        <f>TableC3!K22/TableC3!$C$91</f>
        <v>1.1135645957204155E-6</v>
      </c>
      <c r="I25" s="56"/>
      <c r="J25" s="56"/>
      <c r="K25" s="56"/>
    </row>
    <row r="26" spans="1:11" x14ac:dyDescent="0.35">
      <c r="B26" s="311" t="s">
        <v>46</v>
      </c>
      <c r="C26" s="39"/>
      <c r="D26" s="359"/>
      <c r="E26" s="360"/>
      <c r="F26" s="39"/>
      <c r="G26" s="359"/>
      <c r="H26" s="358"/>
      <c r="I26" s="56"/>
      <c r="J26" s="56"/>
      <c r="K26" s="56"/>
    </row>
    <row r="27" spans="1:11" x14ac:dyDescent="0.35">
      <c r="B27" s="311" t="s">
        <v>47</v>
      </c>
      <c r="C27" s="39">
        <f>(TableC2!D24+TableC2!O24)/(TableC2!$D$100+TableC2!$O$100)</f>
        <v>5.0138923479720009E-3</v>
      </c>
      <c r="D27" s="359">
        <f>(TableC2!E24+TableC2!P24)/(TableC2!$D$100+TableC2!$O$100)</f>
        <v>3.9180898590376341E-4</v>
      </c>
      <c r="E27" s="360">
        <f>(TableC2!L24+TableC2!W24)/(TableC2!$D$100+TableC2!$O$100)</f>
        <v>4.6220833620682373E-3</v>
      </c>
      <c r="F27" s="39">
        <f>TableC3!C24/TableC3!$C$91</f>
        <v>8.6645707578461952E-4</v>
      </c>
      <c r="G27" s="359">
        <f>TableC3!D24/TableC3!$C$91</f>
        <v>1.0725485471853397E-4</v>
      </c>
      <c r="H27" s="358">
        <f>TableC3!K24/TableC3!$C$91</f>
        <v>7.5920222106608552E-4</v>
      </c>
      <c r="I27" s="56"/>
      <c r="J27" s="56"/>
      <c r="K27" s="56"/>
    </row>
    <row r="28" spans="1:11" x14ac:dyDescent="0.35">
      <c r="B28" s="311" t="s">
        <v>48</v>
      </c>
      <c r="C28" s="39">
        <f>(TableC2!D25+TableC2!O25)/(TableC2!$D$100+TableC2!$O$100)</f>
        <v>2.985000149690031E-2</v>
      </c>
      <c r="D28" s="359">
        <f>(TableC2!E25+TableC2!P25)/(TableC2!$D$100+TableC2!$O$100)</f>
        <v>2.6468408452829668E-2</v>
      </c>
      <c r="E28" s="360">
        <f>(TableC2!L25+TableC2!W25)/(TableC2!$D$100+TableC2!$O$100)</f>
        <v>3.3815930440706438E-3</v>
      </c>
      <c r="F28" s="39">
        <f>TableC3!C25/TableC3!$C$91</f>
        <v>6.0726364144830826E-3</v>
      </c>
      <c r="G28" s="359">
        <f>TableC3!D25/TableC3!$C$91</f>
        <v>4.0889015586713954E-3</v>
      </c>
      <c r="H28" s="358">
        <f>TableC3!K25/TableC3!$C$91</f>
        <v>1.9837348558116867E-3</v>
      </c>
      <c r="I28" s="56"/>
      <c r="J28" s="56"/>
      <c r="K28" s="56"/>
    </row>
    <row r="29" spans="1:11" x14ac:dyDescent="0.35">
      <c r="B29" s="311" t="s">
        <v>49</v>
      </c>
      <c r="C29" s="39">
        <f>(TableC2!D26+TableC2!O26)/(TableC2!$D$100+TableC2!$O$100)</f>
        <v>1.8176232527508114E-2</v>
      </c>
      <c r="D29" s="359">
        <f>(TableC2!E26+TableC2!P26)/(TableC2!$D$100+TableC2!$O$100)</f>
        <v>1.0234211238039841E-2</v>
      </c>
      <c r="E29" s="360">
        <f>(TableC2!L26+TableC2!W26)/(TableC2!$D$100+TableC2!$O$100)</f>
        <v>7.9420212894682728E-3</v>
      </c>
      <c r="F29" s="39">
        <f>TableC3!C26/TableC3!$C$91</f>
        <v>3.1301650078711656E-2</v>
      </c>
      <c r="G29" s="359">
        <f>TableC3!D26/TableC3!$C$91</f>
        <v>1.377043049053416E-2</v>
      </c>
      <c r="H29" s="358">
        <f>TableC3!K26/TableC3!$C$91</f>
        <v>1.7531219588177497E-2</v>
      </c>
      <c r="I29" s="56"/>
      <c r="J29" s="56"/>
      <c r="K29" s="56"/>
    </row>
    <row r="30" spans="1:11" x14ac:dyDescent="0.35">
      <c r="A30" s="253" t="s">
        <v>298</v>
      </c>
      <c r="B30" s="311" t="s">
        <v>50</v>
      </c>
      <c r="C30" s="39">
        <f>(TableC2!D27+TableC2!O27)/(TableC2!$D$100+TableC2!$O$100)</f>
        <v>1.0354861893642283E-2</v>
      </c>
      <c r="D30" s="359">
        <f>(TableC2!E27+TableC2!P27)/(TableC2!$D$100+TableC2!$O$100)</f>
        <v>1.9596254671919583E-3</v>
      </c>
      <c r="E30" s="360">
        <f>(TableC2!L27+TableC2!W27)/(TableC2!$D$100+TableC2!$O$100)</f>
        <v>8.3952364264503268E-3</v>
      </c>
      <c r="F30" s="39">
        <f>TableC3!C27/TableC3!$C$91</f>
        <v>2.5393428097699022E-3</v>
      </c>
      <c r="G30" s="359">
        <f>TableC3!D27/TableC3!$C$91</f>
        <v>1.2649280154906743E-3</v>
      </c>
      <c r="H30" s="358">
        <f>TableC3!K27/TableC3!$C$91</f>
        <v>1.2744147942792281E-3</v>
      </c>
      <c r="I30" s="56"/>
      <c r="J30" s="56"/>
      <c r="K30" s="56"/>
    </row>
    <row r="31" spans="1:11" x14ac:dyDescent="0.35">
      <c r="B31" s="297" t="s">
        <v>51</v>
      </c>
      <c r="C31" s="39">
        <f>(TableC2!D28+TableC2!O28)/(TableC2!$D$100+TableC2!$O$100)</f>
        <v>3.9580025587308587E-4</v>
      </c>
      <c r="D31" s="359">
        <f>(TableC2!E28+TableC2!P28)/(TableC2!$D$100+TableC2!$O$100)</f>
        <v>2.8938010089263458E-4</v>
      </c>
      <c r="E31" s="360">
        <f>(TableC2!L28+TableC2!W28)/(TableC2!$D$100+TableC2!$O$100)</f>
        <v>1.064201549804513E-4</v>
      </c>
      <c r="F31" s="39">
        <f>TableC3!C28/TableC3!$C$91</f>
        <v>-2.1049007270863145E-6</v>
      </c>
      <c r="G31" s="359">
        <f>TableC3!D28/TableC3!$C$91</f>
        <v>-2.2427443755588904E-6</v>
      </c>
      <c r="H31" s="358">
        <f>TableC3!K28/TableC3!$C$91</f>
        <v>1.3784364847257572E-7</v>
      </c>
      <c r="I31" s="56"/>
      <c r="J31" s="56"/>
      <c r="K31" s="56"/>
    </row>
    <row r="32" spans="1:11" x14ac:dyDescent="0.35">
      <c r="B32" s="297" t="s">
        <v>52</v>
      </c>
      <c r="C32" s="39"/>
      <c r="D32" s="359"/>
      <c r="E32" s="360"/>
      <c r="F32" s="39"/>
      <c r="G32" s="359"/>
      <c r="H32" s="358"/>
      <c r="I32" s="56"/>
      <c r="J32" s="56"/>
      <c r="K32" s="56"/>
    </row>
    <row r="33" spans="1:11" x14ac:dyDescent="0.35">
      <c r="B33" s="297" t="s">
        <v>53</v>
      </c>
      <c r="C33" s="39">
        <f>(TableC2!D30+TableC2!O30)/(TableC2!$D$100+TableC2!$O$100)</f>
        <v>2.1008266693512506E-2</v>
      </c>
      <c r="D33" s="359">
        <f>(TableC2!E30+TableC2!P30)/(TableC2!$D$100+TableC2!$O$100)</f>
        <v>4.5167358965194334E-3</v>
      </c>
      <c r="E33" s="360">
        <f>(TableC2!L30+TableC2!W30)/(TableC2!$D$100+TableC2!$O$100)</f>
        <v>1.649153079699307E-2</v>
      </c>
      <c r="F33" s="39">
        <f>TableC3!C30/TableC3!$C$91</f>
        <v>5.8976661446118392E-3</v>
      </c>
      <c r="G33" s="359">
        <f>TableC3!D30/TableC3!$C$91</f>
        <v>4.8772930427810907E-3</v>
      </c>
      <c r="H33" s="358">
        <f>TableC3!K30/TableC3!$C$91</f>
        <v>1.0203731018307491E-3</v>
      </c>
      <c r="I33" s="56"/>
      <c r="J33" s="56"/>
      <c r="K33" s="56"/>
    </row>
    <row r="34" spans="1:11" x14ac:dyDescent="0.35">
      <c r="B34" s="297" t="s">
        <v>54</v>
      </c>
      <c r="C34" s="39"/>
      <c r="D34" s="359"/>
      <c r="E34" s="360"/>
      <c r="F34" s="39"/>
      <c r="G34" s="359"/>
      <c r="H34" s="358"/>
      <c r="I34" s="56"/>
      <c r="J34" s="56"/>
      <c r="K34" s="56"/>
    </row>
    <row r="35" spans="1:11" x14ac:dyDescent="0.35">
      <c r="B35" s="297" t="s">
        <v>55</v>
      </c>
      <c r="C35" s="39">
        <f>(TableC2!D32+TableC2!O32)/(TableC2!$D$100+TableC2!$O$100)</f>
        <v>3.255741588455052E-3</v>
      </c>
      <c r="D35" s="359">
        <f>(TableC2!E32+TableC2!P32)/(TableC2!$D$100+TableC2!$O$100)</f>
        <v>5.9316805423990536E-4</v>
      </c>
      <c r="E35" s="360">
        <f>(TableC2!L32+TableC2!W32)/(TableC2!$D$100+TableC2!$O$100)</f>
        <v>2.6625735342151466E-3</v>
      </c>
      <c r="F35" s="39">
        <f>TableC3!C32/TableC3!$C$91</f>
        <v>1.077429398093936E-3</v>
      </c>
      <c r="G35" s="359">
        <f>TableC3!D32/TableC3!$C$91</f>
        <v>-1.7600926495356614E-4</v>
      </c>
      <c r="H35" s="358">
        <f>TableC3!K32/TableC3!$C$91</f>
        <v>1.2534386630475021E-3</v>
      </c>
      <c r="I35" s="56"/>
      <c r="J35" s="56"/>
      <c r="K35" s="56"/>
    </row>
    <row r="36" spans="1:11" x14ac:dyDescent="0.35">
      <c r="B36" s="297" t="s">
        <v>56</v>
      </c>
      <c r="C36" s="39">
        <f>(TableC2!D33+TableC2!O33)/(TableC2!$D$100+TableC2!$O$100)</f>
        <v>8.3906477377967015E-3</v>
      </c>
      <c r="D36" s="359">
        <f>(TableC2!E33+TableC2!P33)/(TableC2!$D$100+TableC2!$O$100)</f>
        <v>3.3954251433975248E-3</v>
      </c>
      <c r="E36" s="360">
        <f>(TableC2!L33+TableC2!W33)/(TableC2!$D$100+TableC2!$O$100)</f>
        <v>4.9952225943991771E-3</v>
      </c>
      <c r="F36" s="39">
        <f>TableC3!C33/TableC3!$C$91</f>
        <v>8.8116191446949432E-3</v>
      </c>
      <c r="G36" s="359">
        <f>TableC3!D33/TableC3!$C$91</f>
        <v>6.2282428164049239E-3</v>
      </c>
      <c r="H36" s="358">
        <f>TableC3!K33/TableC3!$C$91</f>
        <v>2.5833763282900189E-3</v>
      </c>
      <c r="I36" s="56"/>
      <c r="J36" s="56"/>
      <c r="K36" s="56"/>
    </row>
    <row r="37" spans="1:11" x14ac:dyDescent="0.35">
      <c r="B37" s="297" t="s">
        <v>57</v>
      </c>
      <c r="C37" s="39">
        <f>(TableC2!D34+TableC2!O34)/(TableC2!$D$100+TableC2!$O$100)</f>
        <v>5.5224784133818755E-3</v>
      </c>
      <c r="D37" s="359">
        <f>(TableC2!E34+TableC2!P34)/(TableC2!$D$100+TableC2!$O$100)</f>
        <v>4.8032673731649165E-3</v>
      </c>
      <c r="E37" s="360">
        <f>(TableC2!L34+TableC2!W34)/(TableC2!$D$100+TableC2!$O$100)</f>
        <v>7.1921104021695941E-4</v>
      </c>
      <c r="F37" s="39">
        <f>TableC3!C34/TableC3!$C$91</f>
        <v>-4.0991621296697991E-3</v>
      </c>
      <c r="G37" s="359">
        <f>TableC3!D34/TableC3!$C$91</f>
        <v>-4.1021427542822925E-3</v>
      </c>
      <c r="H37" s="358">
        <f>TableC3!K34/TableC3!$C$91</f>
        <v>2.9806246124936239E-6</v>
      </c>
      <c r="I37" s="56"/>
      <c r="J37" s="56"/>
      <c r="K37" s="56"/>
    </row>
    <row r="38" spans="1:11" x14ac:dyDescent="0.35">
      <c r="B38" s="297" t="s">
        <v>58</v>
      </c>
      <c r="C38" s="39">
        <f>(TableC2!D35+TableC2!O35)/(TableC2!$D$100+TableC2!$O$100)</f>
        <v>3.5595013807980828E-3</v>
      </c>
      <c r="D38" s="359">
        <f>(TableC2!E35+TableC2!P35)/(TableC2!$D$100+TableC2!$O$100)</f>
        <v>3.2005457376442646E-3</v>
      </c>
      <c r="E38" s="360">
        <f>(TableC2!L35+TableC2!W35)/(TableC2!$D$100+TableC2!$O$100)</f>
        <v>3.5895564315381839E-4</v>
      </c>
      <c r="F38" s="39">
        <f>TableC3!C35/TableC3!$C$91</f>
        <v>4.5096719166581585E-4</v>
      </c>
      <c r="G38" s="359">
        <f>TableC3!D35/TableC3!$C$91</f>
        <v>5.1514052295589449E-6</v>
      </c>
      <c r="H38" s="358">
        <f>TableC3!K35/TableC3!$C$91</f>
        <v>4.458157864362569E-4</v>
      </c>
      <c r="I38" s="56"/>
      <c r="J38" s="56"/>
      <c r="K38" s="56"/>
    </row>
    <row r="39" spans="1:11" x14ac:dyDescent="0.35">
      <c r="A39" s="253" t="s">
        <v>59</v>
      </c>
      <c r="B39" s="297" t="s">
        <v>293</v>
      </c>
      <c r="C39" s="39">
        <f>(TableC2!D36+TableC2!O36)/(TableC2!$D$100+TableC2!$O$100)</f>
        <v>1.0826561001117145E-3</v>
      </c>
      <c r="D39" s="359">
        <f>(TableC2!E36+TableC2!P36)/(TableC2!$D$100+TableC2!$O$100)</f>
        <v>9.2569901477941368E-4</v>
      </c>
      <c r="E39" s="360">
        <f>(TableC2!L36+TableC2!W36)/(TableC2!$D$100+TableC2!$O$100)</f>
        <v>1.5695708533230103E-4</v>
      </c>
      <c r="F39" s="39">
        <f>TableC3!C36/TableC3!$C$91</f>
        <v>1.4587367164912179E-4</v>
      </c>
      <c r="G39" s="359">
        <f>TableC3!D36/TableC3!$C$91</f>
        <v>1.4012277340320144E-4</v>
      </c>
      <c r="H39" s="358">
        <f>TableC3!K36/TableC3!$C$91</f>
        <v>5.7508982459203629E-6</v>
      </c>
      <c r="I39" s="56"/>
      <c r="J39" s="56"/>
      <c r="K39" s="56"/>
    </row>
    <row r="40" spans="1:11" x14ac:dyDescent="0.35">
      <c r="B40" s="297" t="s">
        <v>60</v>
      </c>
      <c r="C40" s="39">
        <f>(TableC2!D37+TableC2!O37)/(TableC2!$D$100+TableC2!$O$100)</f>
        <v>4.2757945297963019E-4</v>
      </c>
      <c r="D40" s="359">
        <f>(TableC2!E37+TableC2!P37)/(TableC2!$D$100+TableC2!$O$100)</f>
        <v>3.3762902601792332E-4</v>
      </c>
      <c r="E40" s="360">
        <f>(TableC2!L37+TableC2!W37)/(TableC2!$D$100+TableC2!$O$100)</f>
        <v>8.9950426961706825E-5</v>
      </c>
      <c r="F40" s="39">
        <f>TableC3!C37/TableC3!$C$91</f>
        <v>-1.1446836980557663E-5</v>
      </c>
      <c r="G40" s="359">
        <f>TableC3!D37/TableC3!$C$91</f>
        <v>-1.2300149141209749E-5</v>
      </c>
      <c r="H40" s="358">
        <f>TableC3!K37/TableC3!$C$91</f>
        <v>8.5331216065208515E-7</v>
      </c>
      <c r="I40" s="56"/>
      <c r="J40" s="56"/>
      <c r="K40" s="56"/>
    </row>
    <row r="41" spans="1:11" x14ac:dyDescent="0.35">
      <c r="B41" s="297" t="s">
        <v>61</v>
      </c>
      <c r="C41" s="39">
        <f>(TableC2!D38+TableC2!O38)/(TableC2!$D$100+TableC2!$O$100)</f>
        <v>2.1756045542391932E-2</v>
      </c>
      <c r="D41" s="359">
        <f>(TableC2!E38+TableC2!P38)/(TableC2!$D$100+TableC2!$O$100)</f>
        <v>1.8279917047435361E-2</v>
      </c>
      <c r="E41" s="360">
        <f>(TableC2!L38+TableC2!W38)/(TableC2!$D$100+TableC2!$O$100)</f>
        <v>3.4761284949565733E-3</v>
      </c>
      <c r="F41" s="39">
        <f>TableC3!C38/TableC3!$C$91</f>
        <v>5.0284979279168118E-3</v>
      </c>
      <c r="G41" s="359">
        <f>TableC3!D38/TableC3!$C$91</f>
        <v>1.7890199695092034E-3</v>
      </c>
      <c r="H41" s="358">
        <f>TableC3!K38/TableC3!$C$91</f>
        <v>3.2394779584076078E-3</v>
      </c>
      <c r="I41" s="56"/>
      <c r="J41" s="56"/>
      <c r="K41" s="56"/>
    </row>
    <row r="42" spans="1:11" s="318" customFormat="1" x14ac:dyDescent="0.35">
      <c r="B42" s="317" t="s">
        <v>62</v>
      </c>
      <c r="C42" s="39">
        <f>(TableC2!D39+TableC2!O39)/(TableC2!$D$100+TableC2!$O$100)</f>
        <v>1.2968450859567E-2</v>
      </c>
      <c r="D42" s="359">
        <f>(TableC2!E39+TableC2!P39)/(TableC2!$D$100+TableC2!$O$100)</f>
        <v>1.0957458231402456E-2</v>
      </c>
      <c r="E42" s="360">
        <f>(TableC2!L39+TableC2!W39)/(TableC2!$D$100+TableC2!$O$100)</f>
        <v>2.0109926281645448E-3</v>
      </c>
      <c r="F42" s="39">
        <f>TableC3!C39/TableC3!$C$91</f>
        <v>1.5382207518861577E-2</v>
      </c>
      <c r="G42" s="359">
        <f>TableC3!D39/TableC3!$C$91</f>
        <v>1.0928225256139026E-2</v>
      </c>
      <c r="H42" s="358">
        <f>TableC3!K39/TableC3!$C$91</f>
        <v>4.4539822627225499E-3</v>
      </c>
      <c r="I42" s="56"/>
      <c r="J42" s="56"/>
      <c r="K42" s="56"/>
    </row>
    <row r="43" spans="1:11" x14ac:dyDescent="0.35">
      <c r="B43" s="297" t="s">
        <v>63</v>
      </c>
      <c r="C43" s="39"/>
      <c r="D43" s="359"/>
      <c r="E43" s="360"/>
      <c r="F43" s="39"/>
      <c r="G43" s="359"/>
      <c r="H43" s="358"/>
      <c r="I43" s="56"/>
      <c r="J43" s="56"/>
      <c r="K43" s="56"/>
    </row>
    <row r="44" spans="1:11" x14ac:dyDescent="0.35">
      <c r="B44" s="297" t="s">
        <v>64</v>
      </c>
      <c r="C44" s="39">
        <f>(TableC2!D41+TableC2!O41)/(TableC2!$D$100+TableC2!$O$100)</f>
        <v>5.9150805317260812E-3</v>
      </c>
      <c r="D44" s="359">
        <f>(TableC2!E41+TableC2!P41)/(TableC2!$D$100+TableC2!$O$100)</f>
        <v>1.8047638436071527E-3</v>
      </c>
      <c r="E44" s="360">
        <f>(TableC2!L41+TableC2!W41)/(TableC2!$D$100+TableC2!$O$100)</f>
        <v>4.1103166881189292E-3</v>
      </c>
      <c r="F44" s="39">
        <f>TableC3!C41/TableC3!$C$91</f>
        <v>7.5929868107591164E-4</v>
      </c>
      <c r="G44" s="359">
        <f>TableC3!D41/TableC3!$C$91</f>
        <v>7.2760750836909944E-4</v>
      </c>
      <c r="H44" s="358">
        <f>TableC3!K41/TableC3!$C$91</f>
        <v>3.1691172706812175E-5</v>
      </c>
      <c r="I44" s="56"/>
      <c r="J44" s="56"/>
      <c r="K44" s="56"/>
    </row>
    <row r="45" spans="1:11" x14ac:dyDescent="0.35">
      <c r="B45" s="297" t="s">
        <v>65</v>
      </c>
      <c r="C45" s="39">
        <f>(TableC2!D42+TableC2!O42)/(TableC2!$D$100+TableC2!$O$100)</f>
        <v>0.11309359539718003</v>
      </c>
      <c r="D45" s="359">
        <f>(TableC2!E42+TableC2!P42)/(TableC2!$D$100+TableC2!$O$100)</f>
        <v>8.5852852508607747E-2</v>
      </c>
      <c r="E45" s="360">
        <f>(TableC2!L42+TableC2!W42)/(TableC2!$D$100+TableC2!$O$100)</f>
        <v>2.7240742888572284E-2</v>
      </c>
      <c r="F45" s="39">
        <f>TableC3!C42/TableC3!$C$91</f>
        <v>8.8359920842053602E-2</v>
      </c>
      <c r="G45" s="359">
        <f>TableC3!D42/TableC3!$C$91</f>
        <v>6.293229063488158E-2</v>
      </c>
      <c r="H45" s="358">
        <f>TableC3!K42/TableC3!$C$91</f>
        <v>2.5427630207172022E-2</v>
      </c>
      <c r="I45" s="56"/>
      <c r="J45" s="56"/>
      <c r="K45" s="56"/>
    </row>
    <row r="46" spans="1:11" x14ac:dyDescent="0.35">
      <c r="B46" s="297" t="s">
        <v>66</v>
      </c>
      <c r="C46" s="39">
        <f>(TableC2!D43+TableC2!O43)/(TableC2!$D$100+TableC2!$O$100)</f>
        <v>0.17053618046450386</v>
      </c>
      <c r="D46" s="359">
        <f>(TableC2!E43+TableC2!P43)/(TableC2!$D$100+TableC2!$O$100)</f>
        <v>4.8124852378663027E-2</v>
      </c>
      <c r="E46" s="360">
        <f>(TableC2!L43+TableC2!W43)/(TableC2!$D$100+TableC2!$O$100)</f>
        <v>0.12241132808584085</v>
      </c>
      <c r="F46" s="39">
        <f>TableC3!C43/TableC3!$C$91</f>
        <v>0.49543163353131575</v>
      </c>
      <c r="G46" s="359">
        <f>TableC3!D43/TableC3!$C$91</f>
        <v>0.27841810953851953</v>
      </c>
      <c r="H46" s="358">
        <f>TableC3!K43/TableC3!$C$91</f>
        <v>0.21701352399279628</v>
      </c>
      <c r="I46" s="56"/>
      <c r="J46" s="56"/>
      <c r="K46" s="56"/>
    </row>
    <row r="47" spans="1:11" ht="46.5" x14ac:dyDescent="0.35">
      <c r="B47" s="307" t="s">
        <v>67</v>
      </c>
      <c r="C47" s="43">
        <f>(TableC2!D44+TableC2!O44)/(TableC2!$D$100+TableC2!$O$100)</f>
        <v>0.17645830824825842</v>
      </c>
      <c r="D47" s="42">
        <f>(TableC2!E44+TableC2!P44)/(TableC2!$D$100+TableC2!$O$100)</f>
        <v>2.8782200110223102E-2</v>
      </c>
      <c r="E47" s="357">
        <f>(TableC2!L44+TableC2!W44)/(TableC2!$D$100+TableC2!$O$100)</f>
        <v>0.14767610813803533</v>
      </c>
      <c r="F47" s="43">
        <f>TableC3!C44/TableC3!$C$91</f>
        <v>0.10262200574178083</v>
      </c>
      <c r="G47" s="42">
        <f>TableC3!D44/TableC3!$C$91</f>
        <v>1.0949235452186533E-2</v>
      </c>
      <c r="H47" s="350">
        <f>TableC3!K44/TableC3!$C$91</f>
        <v>9.1672770289594335E-2</v>
      </c>
      <c r="I47" s="42"/>
      <c r="J47" s="42"/>
      <c r="K47" s="42"/>
    </row>
    <row r="48" spans="1:11" x14ac:dyDescent="0.35">
      <c r="B48" s="311" t="s">
        <v>68</v>
      </c>
      <c r="C48" s="39">
        <f>(TableC2!D45+TableC2!O45)/(TableC2!$D$100+TableC2!$O$100)</f>
        <v>2.7668568948172864E-2</v>
      </c>
      <c r="D48" s="359">
        <f>(TableC2!E45+TableC2!P45)/(TableC2!$D$100+TableC2!$O$100)</f>
        <v>7.0343063533933204E-3</v>
      </c>
      <c r="E48" s="360">
        <f>(TableC2!L45+TableC2!W45)/(TableC2!$D$100+TableC2!$O$100)</f>
        <v>2.0634262594779545E-2</v>
      </c>
      <c r="F48" s="39">
        <f>TableC3!C45/TableC3!$C$91</f>
        <v>1.0991333484919354E-2</v>
      </c>
      <c r="G48" s="359">
        <f>TableC3!D45/TableC3!$C$91</f>
        <v>1.0509729693381273E-2</v>
      </c>
      <c r="H48" s="358">
        <f>TableC3!K45/TableC3!$C$91</f>
        <v>4.8160379153807954E-4</v>
      </c>
      <c r="I48" s="56"/>
      <c r="J48" s="56"/>
      <c r="K48" s="56"/>
    </row>
    <row r="49" spans="1:11" x14ac:dyDescent="0.35">
      <c r="A49" s="343" t="s">
        <v>69</v>
      </c>
      <c r="B49" s="297" t="s">
        <v>70</v>
      </c>
      <c r="C49" s="39">
        <f>(TableC2!D46+TableC2!O46)/(TableC2!$D$100+TableC2!$O$100)</f>
        <v>9.5637145690837561E-2</v>
      </c>
      <c r="D49" s="359">
        <f>(TableC2!E46+TableC2!P46)/(TableC2!$D$100+TableC2!$O$100)</f>
        <v>7.7685122404079739E-3</v>
      </c>
      <c r="E49" s="360">
        <f>(TableC2!L46+TableC2!W46)/(TableC2!$D$100+TableC2!$O$100)</f>
        <v>8.7868633450429584E-2</v>
      </c>
      <c r="F49" s="39">
        <f>TableC3!C46/TableC3!$C$91</f>
        <v>7.3836598592048192E-2</v>
      </c>
      <c r="G49" s="359">
        <f>TableC3!D46/TableC3!$C$91</f>
        <v>1.0430444107014237E-5</v>
      </c>
      <c r="H49" s="358">
        <f>TableC3!K46/TableC3!$C$91</f>
        <v>7.3826168147941185E-2</v>
      </c>
      <c r="I49" s="56"/>
      <c r="J49" s="56"/>
      <c r="K49" s="56"/>
    </row>
    <row r="50" spans="1:11" x14ac:dyDescent="0.35">
      <c r="B50" s="297" t="s">
        <v>71</v>
      </c>
      <c r="C50" s="39">
        <f>(TableC2!D47+TableC2!O47)/(TableC2!$D$100+TableC2!$O$100)</f>
        <v>2.3201809837607008E-3</v>
      </c>
      <c r="D50" s="359">
        <f>(TableC2!E47+TableC2!P47)/(TableC2!$D$100+TableC2!$O$100)</f>
        <v>6.380289816294456E-4</v>
      </c>
      <c r="E50" s="360">
        <f>(TableC2!L47+TableC2!W47)/(TableC2!$D$100+TableC2!$O$100)</f>
        <v>1.6821520021312549E-3</v>
      </c>
      <c r="F50" s="39">
        <f>TableC3!C47/TableC3!$C$91</f>
        <v>1.6204842415862718E-3</v>
      </c>
      <c r="G50" s="359">
        <f>TableC3!D47/TableC3!$C$91</f>
        <v>-4.78172516929098E-6</v>
      </c>
      <c r="H50" s="358">
        <f>TableC3!K47/TableC3!$C$91</f>
        <v>1.6252659667555626E-3</v>
      </c>
      <c r="I50" s="56"/>
      <c r="J50" s="56"/>
      <c r="K50" s="56"/>
    </row>
    <row r="51" spans="1:11" x14ac:dyDescent="0.35">
      <c r="B51" s="297" t="s">
        <v>72</v>
      </c>
      <c r="C51" s="39">
        <f>(TableC2!D48+TableC2!O48)/(TableC2!$D$100+TableC2!$O$100)</f>
        <v>2.0072502200330342E-3</v>
      </c>
      <c r="D51" s="359">
        <f>(TableC2!E48+TableC2!P48)/(TableC2!$D$100+TableC2!$O$100)</f>
        <v>5.5197582547519299E-4</v>
      </c>
      <c r="E51" s="360">
        <f>(TableC2!L48+TableC2!W48)/(TableC2!$D$100+TableC2!$O$100)</f>
        <v>1.4552743945578414E-3</v>
      </c>
      <c r="F51" s="39">
        <f>TableC3!C48/TableC3!$C$91</f>
        <v>1.9337494602380704E-4</v>
      </c>
      <c r="G51" s="359">
        <f>TableC3!D48/TableC3!$C$91</f>
        <v>-2.3947692119236731E-6</v>
      </c>
      <c r="H51" s="358">
        <f>TableC3!K48/TableC3!$C$91</f>
        <v>1.9576971523573071E-4</v>
      </c>
      <c r="I51" s="56"/>
      <c r="J51" s="56"/>
      <c r="K51" s="56"/>
    </row>
    <row r="52" spans="1:11" x14ac:dyDescent="0.35">
      <c r="B52" s="297" t="s">
        <v>73</v>
      </c>
      <c r="C52" s="39">
        <f>(TableC2!D49+TableC2!O49)/(TableC2!$D$100+TableC2!$O$100)</f>
        <v>1.9667148776766272E-2</v>
      </c>
      <c r="D52" s="359">
        <f>(TableC2!E49+TableC2!P49)/(TableC2!$D$100+TableC2!$O$100)</f>
        <v>4.6499124802106308E-3</v>
      </c>
      <c r="E52" s="360">
        <f>(TableC2!L49+TableC2!W49)/(TableC2!$D$100+TableC2!$O$100)</f>
        <v>1.5017236296555641E-2</v>
      </c>
      <c r="F52" s="39">
        <f>TableC3!C49/TableC3!$C$91</f>
        <v>7.5865478311569054E-3</v>
      </c>
      <c r="G52" s="359">
        <f>TableC3!D49/TableC3!$C$91</f>
        <v>4.6757525458261219E-5</v>
      </c>
      <c r="H52" s="358">
        <f>TableC3!K49/TableC3!$C$91</f>
        <v>7.5397903056986446E-3</v>
      </c>
      <c r="I52" s="56"/>
      <c r="J52" s="56"/>
      <c r="K52" s="56"/>
    </row>
    <row r="53" spans="1:11" x14ac:dyDescent="0.35">
      <c r="A53" s="343" t="s">
        <v>75</v>
      </c>
      <c r="B53" s="297" t="s">
        <v>74</v>
      </c>
      <c r="C53" s="39">
        <f>(TableC2!D50+TableC2!O50)/(TableC2!$D$100+TableC2!$O$100)</f>
        <v>2.0989212918582138E-2</v>
      </c>
      <c r="D53" s="359">
        <f>(TableC2!E50+TableC2!P50)/(TableC2!$D$100+TableC2!$O$100)</f>
        <v>6.1633946204765443E-3</v>
      </c>
      <c r="E53" s="360">
        <f>(TableC2!L50+TableC2!W50)/(TableC2!$D$100+TableC2!$O$100)</f>
        <v>1.4825818298105593E-2</v>
      </c>
      <c r="F53" s="39">
        <f>TableC3!C50/TableC3!$C$91</f>
        <v>1.224641513658766E-3</v>
      </c>
      <c r="G53" s="359">
        <f>TableC3!D50/TableC3!$C$91</f>
        <v>1.1645414876082E-3</v>
      </c>
      <c r="H53" s="358">
        <f>TableC3!K50/TableC3!$C$91</f>
        <v>6.0100026050566073E-5</v>
      </c>
      <c r="I53" s="56"/>
      <c r="J53" s="56"/>
      <c r="K53" s="56"/>
    </row>
    <row r="54" spans="1:11" x14ac:dyDescent="0.35">
      <c r="B54" s="297" t="s">
        <v>76</v>
      </c>
      <c r="C54" s="39">
        <f>(TableC2!D51+TableC2!O51)/(TableC2!$D$100+TableC2!$O$100)</f>
        <v>8.1688007101058877E-3</v>
      </c>
      <c r="D54" s="359">
        <f>(TableC2!E51+TableC2!P51)/(TableC2!$D$100+TableC2!$O$100)</f>
        <v>1.9760696086299967E-3</v>
      </c>
      <c r="E54" s="360">
        <f>(TableC2!L51+TableC2!W51)/(TableC2!$D$100+TableC2!$O$100)</f>
        <v>6.192731101475891E-3</v>
      </c>
      <c r="F54" s="39">
        <f>TableC3!C51/TableC3!$C$91</f>
        <v>7.1690251323875643E-3</v>
      </c>
      <c r="G54" s="359">
        <f>TableC3!D51/TableC3!$C$91</f>
        <v>-7.7504720398700237E-4</v>
      </c>
      <c r="H54" s="358">
        <f>TableC3!K51/TableC3!$C$91</f>
        <v>7.944072336374567E-3</v>
      </c>
      <c r="I54" s="56"/>
      <c r="J54" s="56"/>
      <c r="K54" s="56"/>
    </row>
    <row r="55" spans="1:11" ht="40" hidden="1" customHeight="1" x14ac:dyDescent="0.35">
      <c r="B55" s="307" t="s">
        <v>77</v>
      </c>
      <c r="C55" s="62"/>
      <c r="D55" s="53"/>
      <c r="E55" s="357"/>
      <c r="F55" s="62"/>
      <c r="G55" s="53"/>
      <c r="H55" s="350"/>
      <c r="I55" s="42"/>
      <c r="J55" s="42"/>
      <c r="K55" s="42"/>
    </row>
    <row r="56" spans="1:11" ht="14" hidden="1" customHeight="1" x14ac:dyDescent="0.35">
      <c r="B56" s="297" t="s">
        <v>78</v>
      </c>
      <c r="C56" s="353"/>
      <c r="D56" s="53"/>
      <c r="E56" s="354"/>
      <c r="F56" s="353"/>
      <c r="G56" s="53"/>
      <c r="H56" s="54"/>
      <c r="I56" s="38"/>
      <c r="J56" s="38"/>
      <c r="K56" s="38"/>
    </row>
    <row r="57" spans="1:11" ht="14" hidden="1" customHeight="1" x14ac:dyDescent="0.35">
      <c r="B57" s="297" t="s">
        <v>79</v>
      </c>
      <c r="C57" s="353"/>
      <c r="D57" s="53"/>
      <c r="E57" s="354"/>
      <c r="F57" s="353"/>
      <c r="G57" s="53"/>
      <c r="H57" s="54"/>
      <c r="I57" s="38"/>
      <c r="J57" s="38"/>
      <c r="K57" s="38"/>
    </row>
    <row r="58" spans="1:11" ht="14" hidden="1" customHeight="1" x14ac:dyDescent="0.35">
      <c r="B58" s="297" t="str">
        <f>+[3]TableA1!A56</f>
        <v>Antigua and Barbuda</v>
      </c>
      <c r="C58" s="353"/>
      <c r="D58" s="53"/>
      <c r="E58" s="354"/>
      <c r="F58" s="353"/>
      <c r="G58" s="53"/>
      <c r="H58" s="54"/>
      <c r="I58" s="38"/>
      <c r="J58" s="38"/>
      <c r="K58" s="38"/>
    </row>
    <row r="59" spans="1:11" ht="14" hidden="1" customHeight="1" x14ac:dyDescent="0.35">
      <c r="B59" s="297" t="s">
        <v>81</v>
      </c>
      <c r="C59" s="353"/>
      <c r="D59" s="53"/>
      <c r="E59" s="354"/>
      <c r="F59" s="353"/>
      <c r="G59" s="53"/>
      <c r="H59" s="54"/>
      <c r="I59" s="38"/>
      <c r="J59" s="38"/>
      <c r="K59" s="38"/>
    </row>
    <row r="60" spans="1:11" ht="14" hidden="1" customHeight="1" x14ac:dyDescent="0.35">
      <c r="A60" s="343" t="s">
        <v>82</v>
      </c>
      <c r="B60" s="297" t="s">
        <v>83</v>
      </c>
      <c r="C60" s="353"/>
      <c r="D60" s="53"/>
      <c r="E60" s="354"/>
      <c r="F60" s="353"/>
      <c r="G60" s="53"/>
      <c r="H60" s="54"/>
      <c r="I60" s="38"/>
      <c r="J60" s="38"/>
      <c r="K60" s="38"/>
    </row>
    <row r="61" spans="1:11" ht="14" hidden="1" customHeight="1" x14ac:dyDescent="0.35">
      <c r="A61" s="343" t="s">
        <v>84</v>
      </c>
      <c r="B61" s="297" t="s">
        <v>85</v>
      </c>
      <c r="C61" s="353"/>
      <c r="D61" s="53"/>
      <c r="E61" s="354"/>
      <c r="F61" s="353"/>
      <c r="G61" s="53"/>
      <c r="H61" s="54"/>
      <c r="I61" s="38"/>
      <c r="J61" s="38"/>
      <c r="K61" s="38"/>
    </row>
    <row r="62" spans="1:11" ht="14" hidden="1" customHeight="1" x14ac:dyDescent="0.35">
      <c r="B62" s="297" t="str">
        <f>+[3]TableA1!A60</f>
        <v>Barbados</v>
      </c>
      <c r="C62" s="353"/>
      <c r="D62" s="53"/>
      <c r="E62" s="354"/>
      <c r="F62" s="353"/>
      <c r="G62" s="53"/>
      <c r="H62" s="54"/>
      <c r="I62" s="38"/>
      <c r="J62" s="38"/>
      <c r="K62" s="38"/>
    </row>
    <row r="63" spans="1:11" ht="14" hidden="1" customHeight="1" x14ac:dyDescent="0.35">
      <c r="B63" s="297" t="s">
        <v>87</v>
      </c>
      <c r="C63" s="353"/>
      <c r="D63" s="53"/>
      <c r="E63" s="354"/>
      <c r="F63" s="353"/>
      <c r="G63" s="53"/>
      <c r="H63" s="54"/>
      <c r="I63" s="38"/>
      <c r="J63" s="38"/>
      <c r="K63" s="38"/>
    </row>
    <row r="64" spans="1:11" ht="14" hidden="1" customHeight="1" x14ac:dyDescent="0.35">
      <c r="B64" s="297" t="s">
        <v>88</v>
      </c>
      <c r="C64" s="353"/>
      <c r="D64" s="53"/>
      <c r="E64" s="354"/>
      <c r="F64" s="353"/>
      <c r="G64" s="53"/>
      <c r="H64" s="54"/>
      <c r="I64" s="38"/>
      <c r="J64" s="38"/>
      <c r="K64" s="38"/>
    </row>
    <row r="65" spans="1:11" ht="14" hidden="1" customHeight="1" x14ac:dyDescent="0.35">
      <c r="A65" s="343" t="s">
        <v>352</v>
      </c>
      <c r="B65" s="297" t="s">
        <v>90</v>
      </c>
      <c r="C65" s="353"/>
      <c r="D65" s="53"/>
      <c r="E65" s="354"/>
      <c r="F65" s="353"/>
      <c r="G65" s="53"/>
      <c r="H65" s="54"/>
      <c r="I65" s="38"/>
      <c r="J65" s="38"/>
      <c r="K65" s="38"/>
    </row>
    <row r="66" spans="1:11" ht="14" hidden="1" customHeight="1" x14ac:dyDescent="0.35">
      <c r="A66" s="343" t="s">
        <v>405</v>
      </c>
      <c r="B66" s="297" t="s">
        <v>329</v>
      </c>
      <c r="C66" s="353"/>
      <c r="D66" s="53"/>
      <c r="E66" s="354"/>
      <c r="F66" s="353"/>
      <c r="G66" s="53"/>
      <c r="H66" s="54"/>
      <c r="I66" s="38"/>
      <c r="J66" s="38"/>
      <c r="K66" s="38"/>
    </row>
    <row r="67" spans="1:11" ht="14" hidden="1" customHeight="1" x14ac:dyDescent="0.35">
      <c r="B67" s="301" t="s">
        <v>93</v>
      </c>
      <c r="C67" s="356"/>
      <c r="D67" s="53"/>
      <c r="E67" s="354"/>
      <c r="F67" s="356"/>
      <c r="G67" s="53"/>
      <c r="H67" s="54"/>
      <c r="I67" s="38"/>
      <c r="J67" s="38"/>
      <c r="K67" s="38"/>
    </row>
    <row r="68" spans="1:11" ht="14" hidden="1" customHeight="1" x14ac:dyDescent="0.35">
      <c r="B68" s="297" t="s">
        <v>95</v>
      </c>
      <c r="C68" s="353"/>
      <c r="D68" s="53"/>
      <c r="E68" s="354"/>
      <c r="F68" s="353"/>
      <c r="G68" s="53"/>
      <c r="H68" s="54"/>
      <c r="I68" s="38"/>
      <c r="J68" s="38"/>
      <c r="K68" s="38"/>
    </row>
    <row r="69" spans="1:11" ht="14" hidden="1" customHeight="1" x14ac:dyDescent="0.35">
      <c r="B69" s="297" t="str">
        <f>+[3]TableA1!A67</f>
        <v>Cyprus</v>
      </c>
      <c r="C69" s="353"/>
      <c r="D69" s="53"/>
      <c r="E69" s="354"/>
      <c r="F69" s="353"/>
      <c r="G69" s="53"/>
      <c r="H69" s="54"/>
      <c r="I69" s="38"/>
      <c r="J69" s="38"/>
      <c r="K69" s="38"/>
    </row>
    <row r="70" spans="1:11" ht="14" hidden="1" customHeight="1" x14ac:dyDescent="0.35">
      <c r="B70" s="297" t="s">
        <v>97</v>
      </c>
      <c r="C70" s="353"/>
      <c r="D70" s="53"/>
      <c r="E70" s="354"/>
      <c r="F70" s="353"/>
      <c r="G70" s="53"/>
      <c r="H70" s="54"/>
      <c r="I70" s="38"/>
      <c r="J70" s="38"/>
      <c r="K70" s="38"/>
    </row>
    <row r="71" spans="1:11" ht="14" hidden="1" customHeight="1" x14ac:dyDescent="0.35">
      <c r="B71" s="297" t="str">
        <f>+[3]TableA1!A69</f>
        <v>Grenada</v>
      </c>
      <c r="C71" s="353"/>
      <c r="D71" s="53"/>
      <c r="E71" s="354"/>
      <c r="F71" s="353"/>
      <c r="G71" s="53"/>
      <c r="H71" s="54"/>
      <c r="I71" s="38"/>
      <c r="J71" s="38"/>
      <c r="K71" s="38"/>
    </row>
    <row r="72" spans="1:11" ht="14" hidden="1" customHeight="1" x14ac:dyDescent="0.35">
      <c r="B72" s="297" t="s">
        <v>99</v>
      </c>
      <c r="C72" s="353"/>
      <c r="D72" s="53"/>
      <c r="E72" s="354"/>
      <c r="F72" s="353"/>
      <c r="G72" s="53"/>
      <c r="H72" s="54"/>
      <c r="I72" s="38"/>
      <c r="J72" s="38"/>
      <c r="K72" s="38"/>
    </row>
    <row r="73" spans="1:11" ht="14" hidden="1" customHeight="1" x14ac:dyDescent="0.35">
      <c r="A73" s="343" t="s">
        <v>100</v>
      </c>
      <c r="B73" s="297" t="s">
        <v>332</v>
      </c>
      <c r="C73" s="353"/>
      <c r="D73" s="53"/>
      <c r="E73" s="354"/>
      <c r="F73" s="353"/>
      <c r="G73" s="53"/>
      <c r="H73" s="54"/>
      <c r="I73" s="38"/>
      <c r="J73" s="38"/>
      <c r="K73" s="38"/>
    </row>
    <row r="74" spans="1:11" ht="14" hidden="1" customHeight="1" x14ac:dyDescent="0.35">
      <c r="A74" s="343" t="s">
        <v>102</v>
      </c>
      <c r="B74" s="297" t="s">
        <v>328</v>
      </c>
      <c r="C74" s="353"/>
      <c r="D74" s="53"/>
      <c r="E74" s="354"/>
      <c r="F74" s="353"/>
      <c r="G74" s="53"/>
      <c r="H74" s="54"/>
      <c r="I74" s="38"/>
      <c r="J74" s="38"/>
      <c r="K74" s="38"/>
    </row>
    <row r="75" spans="1:11" ht="14" hidden="1" customHeight="1" x14ac:dyDescent="0.35">
      <c r="B75" s="297" t="s">
        <v>103</v>
      </c>
      <c r="C75" s="353"/>
      <c r="D75" s="53"/>
      <c r="E75" s="354"/>
      <c r="F75" s="353"/>
      <c r="G75" s="53"/>
      <c r="H75" s="54"/>
      <c r="I75" s="38"/>
      <c r="J75" s="38"/>
      <c r="K75" s="38"/>
    </row>
    <row r="76" spans="1:11" ht="14" hidden="1" customHeight="1" x14ac:dyDescent="0.35">
      <c r="B76" s="297" t="s">
        <v>104</v>
      </c>
      <c r="C76" s="353"/>
      <c r="D76" s="53"/>
      <c r="E76" s="354"/>
      <c r="F76" s="353"/>
      <c r="G76" s="53"/>
      <c r="H76" s="54"/>
      <c r="I76" s="38"/>
      <c r="J76" s="38"/>
      <c r="K76" s="355"/>
    </row>
    <row r="77" spans="1:11" ht="14" hidden="1" customHeight="1" x14ac:dyDescent="0.35">
      <c r="B77" s="297" t="s">
        <v>105</v>
      </c>
      <c r="C77" s="353"/>
      <c r="D77" s="53"/>
      <c r="E77" s="354"/>
      <c r="F77" s="353"/>
      <c r="G77" s="53"/>
      <c r="H77" s="54"/>
      <c r="I77" s="38"/>
      <c r="J77" s="38"/>
      <c r="K77" s="38"/>
    </row>
    <row r="78" spans="1:11" ht="14" hidden="1" customHeight="1" x14ac:dyDescent="0.35">
      <c r="A78" s="343" t="s">
        <v>106</v>
      </c>
      <c r="B78" s="297" t="s">
        <v>108</v>
      </c>
      <c r="C78" s="353"/>
      <c r="D78" s="53"/>
      <c r="E78" s="354"/>
      <c r="F78" s="353"/>
      <c r="G78" s="53"/>
      <c r="H78" s="54"/>
      <c r="I78" s="38"/>
      <c r="J78" s="38"/>
      <c r="K78" s="38"/>
    </row>
    <row r="79" spans="1:11" ht="14" hidden="1" customHeight="1" x14ac:dyDescent="0.35">
      <c r="B79" s="297" t="s">
        <v>109</v>
      </c>
      <c r="C79" s="353"/>
      <c r="D79" s="53"/>
      <c r="E79" s="354"/>
      <c r="F79" s="353"/>
      <c r="G79" s="53"/>
      <c r="H79" s="54"/>
      <c r="I79" s="38"/>
      <c r="J79" s="38"/>
      <c r="K79" s="38"/>
    </row>
    <row r="80" spans="1:11" ht="14" hidden="1" customHeight="1" x14ac:dyDescent="0.35">
      <c r="A80" s="343" t="s">
        <v>111</v>
      </c>
      <c r="B80" s="297" t="s">
        <v>110</v>
      </c>
      <c r="C80" s="353"/>
      <c r="D80" s="53"/>
      <c r="E80" s="354"/>
      <c r="F80" s="353"/>
      <c r="G80" s="53"/>
      <c r="H80" s="54"/>
      <c r="I80" s="38"/>
      <c r="J80" s="38"/>
      <c r="K80" s="38"/>
    </row>
    <row r="81" spans="1:11" ht="14" hidden="1" customHeight="1" x14ac:dyDescent="0.35">
      <c r="B81" s="297" t="str">
        <f>+[3]TableA1!A79</f>
        <v>Monaco</v>
      </c>
      <c r="C81" s="353"/>
      <c r="D81" s="53"/>
      <c r="E81" s="354"/>
      <c r="F81" s="353"/>
      <c r="G81" s="53"/>
      <c r="H81" s="54"/>
      <c r="I81" s="38"/>
      <c r="J81" s="38"/>
      <c r="K81" s="38"/>
    </row>
    <row r="82" spans="1:11" ht="14" hidden="1" customHeight="1" x14ac:dyDescent="0.35">
      <c r="B82" s="297" t="s">
        <v>113</v>
      </c>
      <c r="C82" s="353"/>
      <c r="D82" s="53"/>
      <c r="E82" s="354"/>
      <c r="F82" s="353"/>
      <c r="G82" s="53"/>
      <c r="H82" s="54"/>
      <c r="I82" s="38"/>
      <c r="J82" s="38"/>
      <c r="K82" s="38"/>
    </row>
    <row r="83" spans="1:11" ht="14" hidden="1" customHeight="1" x14ac:dyDescent="0.35">
      <c r="B83" s="297" t="s">
        <v>114</v>
      </c>
      <c r="C83" s="353"/>
      <c r="D83" s="53"/>
      <c r="E83" s="354"/>
      <c r="F83" s="353"/>
      <c r="G83" s="53"/>
      <c r="H83" s="54"/>
      <c r="I83" s="38"/>
      <c r="J83" s="38"/>
      <c r="K83" s="38"/>
    </row>
    <row r="84" spans="1:11" ht="14" hidden="1" customHeight="1" x14ac:dyDescent="0.35">
      <c r="B84" s="297" t="str">
        <f>+[3]TableA1!A82</f>
        <v>Seychelles</v>
      </c>
      <c r="C84" s="353"/>
      <c r="D84" s="53"/>
      <c r="E84" s="354"/>
      <c r="F84" s="353"/>
      <c r="G84" s="53"/>
      <c r="H84" s="54"/>
      <c r="I84" s="38"/>
      <c r="J84" s="38"/>
      <c r="K84" s="38"/>
    </row>
    <row r="85" spans="1:11" hidden="1" x14ac:dyDescent="0.35">
      <c r="B85" s="297" t="s">
        <v>116</v>
      </c>
      <c r="C85" s="353"/>
      <c r="D85" s="53"/>
      <c r="E85" s="354"/>
      <c r="F85" s="353"/>
      <c r="G85" s="53"/>
      <c r="H85" s="54"/>
      <c r="I85" s="38"/>
      <c r="J85" s="38"/>
      <c r="K85" s="38"/>
    </row>
    <row r="86" spans="1:11" hidden="1" x14ac:dyDescent="0.35">
      <c r="B86" s="297" t="str">
        <f>+[3]TableA1!A84</f>
        <v>St. Kitts and Nevis</v>
      </c>
      <c r="C86" s="353"/>
      <c r="D86" s="53"/>
      <c r="E86" s="354"/>
      <c r="F86" s="353"/>
      <c r="G86" s="53"/>
      <c r="H86" s="54"/>
      <c r="I86" s="38"/>
      <c r="J86" s="38"/>
      <c r="K86" s="38"/>
    </row>
    <row r="87" spans="1:11" hidden="1" x14ac:dyDescent="0.35">
      <c r="B87" s="297" t="str">
        <f>+[3]TableA1!A85</f>
        <v>St. Lucia</v>
      </c>
      <c r="C87" s="353"/>
      <c r="D87" s="53"/>
      <c r="E87" s="354"/>
      <c r="F87" s="353"/>
      <c r="G87" s="53"/>
      <c r="H87" s="54"/>
      <c r="I87" s="38"/>
      <c r="J87" s="38"/>
      <c r="K87" s="38"/>
    </row>
    <row r="88" spans="1:11" hidden="1" x14ac:dyDescent="0.35">
      <c r="B88" s="297" t="str">
        <f>+[3]TableA1!A86</f>
        <v>St. Vincent and the Grenadines</v>
      </c>
      <c r="C88" s="353"/>
      <c r="D88" s="53"/>
      <c r="E88" s="354"/>
      <c r="F88" s="353"/>
      <c r="G88" s="53"/>
      <c r="H88" s="54"/>
      <c r="I88" s="38"/>
      <c r="J88" s="38"/>
      <c r="K88" s="38"/>
    </row>
    <row r="89" spans="1:11" ht="23" hidden="1" x14ac:dyDescent="0.35">
      <c r="A89" s="343" t="s">
        <v>353</v>
      </c>
      <c r="B89" s="297" t="str">
        <f>+[3]TableA1!A87</f>
        <v>Turks and Caicos</v>
      </c>
      <c r="C89" s="353"/>
      <c r="D89" s="53"/>
      <c r="E89" s="354"/>
      <c r="F89" s="353"/>
      <c r="G89" s="53"/>
      <c r="H89" s="54"/>
      <c r="I89" s="38"/>
      <c r="J89" s="38"/>
      <c r="K89" s="38"/>
    </row>
    <row r="90" spans="1:11" hidden="1" x14ac:dyDescent="0.35">
      <c r="B90" s="297" t="str">
        <f>+[3]TableA1!A88</f>
        <v>Panama</v>
      </c>
      <c r="C90" s="353"/>
      <c r="D90" s="53"/>
      <c r="E90" s="354"/>
      <c r="F90" s="353"/>
      <c r="G90" s="53"/>
      <c r="H90" s="54"/>
      <c r="I90" s="38"/>
      <c r="J90" s="38"/>
      <c r="K90" s="38"/>
    </row>
    <row r="91" spans="1:11" hidden="1" x14ac:dyDescent="0.35">
      <c r="B91" s="297" t="s">
        <v>122</v>
      </c>
      <c r="C91" s="353"/>
      <c r="D91" s="53"/>
      <c r="E91" s="354"/>
      <c r="F91" s="353"/>
      <c r="G91" s="53"/>
      <c r="H91" s="54"/>
      <c r="I91" s="38"/>
      <c r="J91" s="38"/>
      <c r="K91" s="38"/>
    </row>
    <row r="92" spans="1:11" ht="40" customHeight="1" x14ac:dyDescent="0.35">
      <c r="B92" s="288" t="s">
        <v>327</v>
      </c>
      <c r="C92" s="352">
        <f>(TableC2!D98+TableC2!O98)/(TableC2!$D$100+TableC2!$O$100)</f>
        <v>0.17565119186478104</v>
      </c>
      <c r="D92" s="59">
        <f>(TableC2!E98+TableC2!P98)/(TableC2!$D$100+TableC2!$O$100)</f>
        <v>5.1557862229410771E-2</v>
      </c>
      <c r="E92" s="36">
        <f>(TableC2!L98+TableC2!W98)/(TableC2!$D$100+TableC2!$O$100)</f>
        <v>0.12409332963537026</v>
      </c>
      <c r="F92" s="352">
        <f>TableC3!C89/TableC3!$C$91</f>
        <v>3.2320250533842396E-2</v>
      </c>
      <c r="G92" s="59">
        <f>TableC3!D89/TableC3!$C$91</f>
        <v>4.0246479147966899E-3</v>
      </c>
      <c r="H92" s="351">
        <f>TableC3!K89/TableC3!$C$91</f>
        <v>2.82956026190457E-2</v>
      </c>
      <c r="I92" s="42"/>
      <c r="J92" s="42"/>
      <c r="K92" s="42"/>
    </row>
    <row r="93" spans="1:11" ht="40" hidden="1" customHeight="1" x14ac:dyDescent="0.35">
      <c r="B93" s="276"/>
      <c r="C93" s="43"/>
      <c r="D93" s="42"/>
      <c r="E93" s="42"/>
      <c r="F93" s="43"/>
      <c r="G93" s="42"/>
      <c r="H93" s="350"/>
      <c r="I93" s="42"/>
      <c r="J93" s="42"/>
      <c r="K93" s="42"/>
    </row>
    <row r="94" spans="1:11" ht="40" customHeight="1" thickBot="1" x14ac:dyDescent="0.4">
      <c r="B94" s="264" t="str">
        <f>+TableC3!B91</f>
        <v>Non-haven total</v>
      </c>
      <c r="C94" s="35">
        <f>(TableC2!D100+TableC2!O100)/(TableC2!$D$100+TableC2!$O$100)</f>
        <v>1</v>
      </c>
      <c r="D94" s="58">
        <f>(TableC2!E100+TableC2!P100)/(TableC2!$D$100+TableC2!$O$100)</f>
        <v>0.44044535926770095</v>
      </c>
      <c r="E94" s="58">
        <f>(TableC2!L100+TableC2!W100)/(TableC2!$D$100+TableC2!$O$100)</f>
        <v>0.55955464073229921</v>
      </c>
      <c r="F94" s="35">
        <f>TableC3!C91/TableC3!$C$91</f>
        <v>1</v>
      </c>
      <c r="G94" s="58">
        <f>TableC3!D91/TableC3!$C$91</f>
        <v>0.53582474991874207</v>
      </c>
      <c r="H94" s="349">
        <f>TableC3!K91/TableC3!$C$91</f>
        <v>0.46417525008125793</v>
      </c>
      <c r="I94" s="53"/>
      <c r="J94" s="53"/>
      <c r="K94" s="53"/>
    </row>
    <row r="95" spans="1:11" s="257" customFormat="1" ht="16" thickTop="1" x14ac:dyDescent="0.35">
      <c r="D95" s="253"/>
      <c r="E95" s="253"/>
      <c r="G95" s="253"/>
      <c r="H95" s="253"/>
      <c r="I95" s="253"/>
      <c r="J95" s="253"/>
      <c r="K95" s="253"/>
    </row>
    <row r="97" spans="2:11" s="257" customFormat="1" x14ac:dyDescent="0.35">
      <c r="B97" s="253"/>
      <c r="C97" s="253"/>
      <c r="D97" s="253"/>
      <c r="E97" s="253"/>
      <c r="F97" s="253"/>
      <c r="G97" s="253"/>
      <c r="H97" s="253"/>
      <c r="I97" s="253"/>
      <c r="J97" s="253"/>
      <c r="K97" s="253"/>
    </row>
  </sheetData>
  <mergeCells count="6">
    <mergeCell ref="B4:H4"/>
    <mergeCell ref="C8:E8"/>
    <mergeCell ref="F8:H8"/>
    <mergeCell ref="C9:C10"/>
    <mergeCell ref="F9:F10"/>
    <mergeCell ref="C7:H7"/>
  </mergeCells>
  <pageMargins left="0.7" right="0.7" top="0.75" bottom="0.75" header="0.3" footer="0.3"/>
  <pageSetup scale="69"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pageSetUpPr fitToPage="1"/>
  </sheetPr>
  <dimension ref="A3:S98"/>
  <sheetViews>
    <sheetView zoomScaleNormal="100" zoomScalePageLayoutView="70" workbookViewId="0">
      <pane xSplit="2" ySplit="11" topLeftCell="C29" activePane="bottomRight" state="frozen"/>
      <selection activeCell="G29" sqref="G29"/>
      <selection pane="topRight" activeCell="G29" sqref="G29"/>
      <selection pane="bottomLeft" activeCell="G29" sqref="G29"/>
      <selection pane="bottomRight" activeCell="D12" sqref="D12"/>
    </sheetView>
  </sheetViews>
  <sheetFormatPr defaultColWidth="10.81640625" defaultRowHeight="15.5" x14ac:dyDescent="0.35"/>
  <cols>
    <col min="1" max="1" width="17.453125" style="253" hidden="1" customWidth="1"/>
    <col min="2" max="2" width="19" style="253" customWidth="1"/>
    <col min="3" max="9" width="12.81640625" style="253" customWidth="1"/>
    <col min="10" max="12" width="19.6328125" style="253" customWidth="1"/>
    <col min="13" max="13" width="10.81640625" style="253"/>
    <col min="14" max="14" width="19.453125" style="253" customWidth="1"/>
    <col min="15" max="15" width="13.6328125" style="253" customWidth="1"/>
    <col min="16" max="16384" width="10.81640625" style="253"/>
  </cols>
  <sheetData>
    <row r="3" spans="2:17" ht="16" thickBot="1" x14ac:dyDescent="0.4"/>
    <row r="4" spans="2:17" ht="16" hidden="1" thickBot="1" x14ac:dyDescent="0.4"/>
    <row r="5" spans="2:17" ht="32" customHeight="1" x14ac:dyDescent="0.35">
      <c r="B5" s="643" t="s">
        <v>420</v>
      </c>
      <c r="C5" s="644"/>
      <c r="D5" s="644"/>
      <c r="E5" s="644"/>
      <c r="F5" s="644"/>
      <c r="G5" s="644"/>
      <c r="H5" s="644"/>
      <c r="I5" s="645"/>
      <c r="J5" s="373"/>
      <c r="K5" s="373"/>
      <c r="L5" s="373"/>
    </row>
    <row r="6" spans="2:17" ht="21" customHeight="1" x14ac:dyDescent="0.35">
      <c r="B6" s="408"/>
      <c r="C6" s="373"/>
      <c r="D6" s="373"/>
      <c r="E6" s="373"/>
      <c r="F6" s="373"/>
      <c r="G6" s="373"/>
      <c r="H6" s="373"/>
      <c r="I6" s="410"/>
      <c r="J6" s="373"/>
      <c r="K6" s="373"/>
      <c r="L6" s="373"/>
    </row>
    <row r="7" spans="2:17" ht="16.5" customHeight="1" x14ac:dyDescent="0.35">
      <c r="B7" s="408"/>
      <c r="C7" s="4" t="s">
        <v>1</v>
      </c>
      <c r="D7" s="4" t="s">
        <v>2</v>
      </c>
      <c r="E7" s="4" t="s">
        <v>3</v>
      </c>
      <c r="F7" s="4" t="s">
        <v>4</v>
      </c>
      <c r="G7" s="4" t="s">
        <v>5</v>
      </c>
      <c r="H7" s="4" t="s">
        <v>6</v>
      </c>
      <c r="I7" s="409" t="s">
        <v>7</v>
      </c>
      <c r="J7" s="373"/>
      <c r="K7" s="373"/>
      <c r="L7" s="373"/>
    </row>
    <row r="8" spans="2:17" ht="32" customHeight="1" x14ac:dyDescent="0.35">
      <c r="B8" s="408"/>
      <c r="C8" s="650" t="s">
        <v>419</v>
      </c>
      <c r="D8" s="646" t="s">
        <v>418</v>
      </c>
      <c r="E8" s="641"/>
      <c r="F8" s="641"/>
      <c r="G8" s="641"/>
      <c r="H8" s="641"/>
      <c r="I8" s="647"/>
      <c r="J8" s="373"/>
      <c r="K8" s="373"/>
      <c r="L8" s="373"/>
    </row>
    <row r="9" spans="2:17" ht="21" customHeight="1" x14ac:dyDescent="0.35">
      <c r="B9" s="388"/>
      <c r="C9" s="651"/>
      <c r="D9" s="624" t="s">
        <v>415</v>
      </c>
      <c r="E9" s="624"/>
      <c r="F9" s="624"/>
      <c r="G9" s="623" t="s">
        <v>414</v>
      </c>
      <c r="H9" s="624" t="s">
        <v>410</v>
      </c>
      <c r="I9" s="625"/>
      <c r="J9" s="372"/>
      <c r="K9" s="372"/>
      <c r="L9" s="372"/>
    </row>
    <row r="10" spans="2:17" ht="85" customHeight="1" x14ac:dyDescent="0.35">
      <c r="B10" s="388"/>
      <c r="C10" s="651"/>
      <c r="D10" s="648" t="s">
        <v>398</v>
      </c>
      <c r="E10" s="370" t="s">
        <v>397</v>
      </c>
      <c r="F10" s="371" t="s">
        <v>396</v>
      </c>
      <c r="G10" s="638" t="s">
        <v>398</v>
      </c>
      <c r="H10" s="370" t="s">
        <v>397</v>
      </c>
      <c r="I10" s="407" t="s">
        <v>396</v>
      </c>
      <c r="J10" s="365"/>
      <c r="K10" s="365"/>
      <c r="L10" s="365"/>
    </row>
    <row r="11" spans="2:17" ht="21" customHeight="1" x14ac:dyDescent="0.35">
      <c r="B11" s="388"/>
      <c r="C11" s="652"/>
      <c r="D11" s="649"/>
      <c r="E11" s="405"/>
      <c r="F11" s="406"/>
      <c r="G11" s="639"/>
      <c r="H11" s="405"/>
      <c r="I11" s="404"/>
      <c r="J11" s="365"/>
      <c r="K11" s="365"/>
      <c r="L11" s="365"/>
    </row>
    <row r="12" spans="2:17" ht="40" customHeight="1" x14ac:dyDescent="0.35">
      <c r="B12" s="403" t="s">
        <v>31</v>
      </c>
      <c r="C12" s="402">
        <f>+SUM(C13:C47)</f>
        <v>6177.7861305502502</v>
      </c>
      <c r="D12" s="363">
        <f>TableC4!C10/(C12*1000)</f>
        <v>0.10164605913528957</v>
      </c>
      <c r="E12" s="400">
        <f>+TableC4!D10/(TableC4c!$C12*1000)</f>
        <v>5.6496096659647888E-2</v>
      </c>
      <c r="F12" s="401">
        <f>+D12-E12</f>
        <v>4.5149962475641681E-2</v>
      </c>
      <c r="G12" s="363">
        <f>TableC4!N10/(C12*1000)</f>
        <v>0.13571693147127414</v>
      </c>
      <c r="H12" s="400">
        <f>+TableC4!O10/(TableC4c!$C12*1000)</f>
        <v>8.1715101535558748E-2</v>
      </c>
      <c r="I12" s="399">
        <f>+G12-H12</f>
        <v>5.4001829935715395E-2</v>
      </c>
      <c r="J12" s="53"/>
      <c r="K12" s="53"/>
      <c r="L12" s="53"/>
    </row>
    <row r="13" spans="2:17" ht="14" customHeight="1" x14ac:dyDescent="0.35">
      <c r="B13" s="395" t="s">
        <v>32</v>
      </c>
      <c r="C13" s="394">
        <f>+'Table U1'!K9</f>
        <v>259.53879688000001</v>
      </c>
      <c r="D13" s="39">
        <f>TableC4!C11/(C13*1000)</f>
        <v>0.11650535968493464</v>
      </c>
      <c r="E13" s="359">
        <f>+TableC4!D11/(TableC4c!$C13*1000)</f>
        <v>2.9649026870392666E-2</v>
      </c>
      <c r="F13" s="360">
        <f>+D13-E13</f>
        <v>8.685633281454197E-2</v>
      </c>
      <c r="G13" s="39">
        <f>TableC4!N11/(C13*1000)</f>
        <v>1.0607234679671276E-2</v>
      </c>
      <c r="H13" s="359">
        <f>+TableC4!O11/(TableC4c!$C13*1000)</f>
        <v>-9.4094072897033931E-4</v>
      </c>
      <c r="I13" s="385">
        <f>+G13-H13</f>
        <v>1.1548175408641614E-2</v>
      </c>
      <c r="J13" s="56"/>
      <c r="K13" s="53"/>
      <c r="L13" s="53"/>
    </row>
    <row r="14" spans="2:17" ht="14" customHeight="1" x14ac:dyDescent="0.35">
      <c r="B14" s="395" t="s">
        <v>33</v>
      </c>
      <c r="C14" s="394">
        <f>+'Table U1'!K10</f>
        <v>54.133328130000002</v>
      </c>
      <c r="D14" s="39">
        <f>TableC4!C12/(C14*1000)</f>
        <v>8.7162906670616408E-2</v>
      </c>
      <c r="E14" s="359">
        <f>+TableC4!D12/(TableC4c!$C14*1000)</f>
        <v>6.5728093231752382E-2</v>
      </c>
      <c r="F14" s="360">
        <f>+D14-E14</f>
        <v>2.1434813438864025E-2</v>
      </c>
      <c r="G14" s="39">
        <f>TableC4!N12/(C14*1000)</f>
        <v>6.4716169251829408E-2</v>
      </c>
      <c r="H14" s="359">
        <f>+TableC4!O12/(TableC4c!$C14*1000)</f>
        <v>1.0767696852835667E-2</v>
      </c>
      <c r="I14" s="385">
        <f>+G14-H14</f>
        <v>5.3948472398993738E-2</v>
      </c>
      <c r="J14" s="56"/>
      <c r="K14" s="53"/>
      <c r="L14" s="53"/>
    </row>
    <row r="15" spans="2:17" ht="14" customHeight="1" x14ac:dyDescent="0.35">
      <c r="B15" s="395" t="s">
        <v>34</v>
      </c>
      <c r="C15" s="394"/>
      <c r="D15" s="39"/>
      <c r="E15" s="359"/>
      <c r="F15" s="360"/>
      <c r="G15" s="39"/>
      <c r="H15" s="359"/>
      <c r="I15" s="385"/>
      <c r="J15" s="56"/>
      <c r="K15" s="53"/>
      <c r="L15" s="53"/>
      <c r="Q15" s="49"/>
    </row>
    <row r="16" spans="2:17" ht="14" customHeight="1" x14ac:dyDescent="0.35">
      <c r="B16" s="395" t="s">
        <v>35</v>
      </c>
      <c r="C16" s="394">
        <f>+'Table U1'!K12</f>
        <v>184.63618750000001</v>
      </c>
      <c r="D16" s="39">
        <f>TableC4!C14/(C16*1000)</f>
        <v>0.13981173571825339</v>
      </c>
      <c r="E16" s="359">
        <f>+TableC4!D14/(TableC4c!$C16*1000)</f>
        <v>2.3899237523979638E-2</v>
      </c>
      <c r="F16" s="360">
        <f t="shared" ref="F16:F26" si="0">+D16-E16</f>
        <v>0.11591249819427375</v>
      </c>
      <c r="G16" s="39">
        <f>TableC4!N14/(C16*1000)</f>
        <v>0.13989681958778474</v>
      </c>
      <c r="H16" s="359">
        <f>+TableC4!O14/(TableC4c!$C16*1000)</f>
        <v>3.6699713014996173E-2</v>
      </c>
      <c r="I16" s="385">
        <f t="shared" ref="I16:I26" si="1">+G16-H16</f>
        <v>0.10319710657278858</v>
      </c>
      <c r="J16" s="56"/>
      <c r="K16" s="53"/>
      <c r="L16" s="53"/>
      <c r="Q16" s="49"/>
    </row>
    <row r="17" spans="1:19" ht="14" customHeight="1" x14ac:dyDescent="0.35">
      <c r="B17" s="395" t="s">
        <v>36</v>
      </c>
      <c r="C17" s="394">
        <f>+'Table U1'!K13</f>
        <v>67.274117189999998</v>
      </c>
      <c r="D17" s="39">
        <f>TableC4!C15/(C17*1000)</f>
        <v>0.13547127657848157</v>
      </c>
      <c r="E17" s="359">
        <f>+TableC4!D15/(TableC4c!$C17*1000)</f>
        <v>1.7412631047652085E-2</v>
      </c>
      <c r="F17" s="360">
        <f t="shared" si="0"/>
        <v>0.11805864553082948</v>
      </c>
      <c r="G17" s="39">
        <f>TableC4!N15/(C17*1000)</f>
        <v>-2.4408535363169364E-3</v>
      </c>
      <c r="H17" s="359">
        <f>+TableC4!O15/(TableC4c!$C17*1000)</f>
        <v>-2.8452368972560053E-3</v>
      </c>
      <c r="I17" s="385">
        <f t="shared" si="1"/>
        <v>4.0438336093906891E-4</v>
      </c>
      <c r="J17" s="56"/>
      <c r="K17" s="53"/>
      <c r="L17" s="53"/>
      <c r="Q17" s="265"/>
      <c r="S17" s="265"/>
    </row>
    <row r="18" spans="1:19" ht="14" customHeight="1" x14ac:dyDescent="0.35">
      <c r="B18" s="395" t="s">
        <v>37</v>
      </c>
      <c r="C18" s="394">
        <f>+'Table U1'!K14</f>
        <v>35.933675779999994</v>
      </c>
      <c r="D18" s="39">
        <f>TableC4!C16/(C18*1000)</f>
        <v>7.7863553454762882E-2</v>
      </c>
      <c r="E18" s="359">
        <f>+TableC4!D16/(TableC4c!$C18*1000)</f>
        <v>6.3794391744891793E-2</v>
      </c>
      <c r="F18" s="360">
        <f t="shared" si="0"/>
        <v>1.4069161709871089E-2</v>
      </c>
      <c r="G18" s="39">
        <f>TableC4!N16/(C18*1000)</f>
        <v>2.0660863984103054E-2</v>
      </c>
      <c r="H18" s="359">
        <f>+TableC4!O16/(TableC4c!$C18*1000)</f>
        <v>2.0654988619533719E-2</v>
      </c>
      <c r="I18" s="385">
        <f t="shared" si="1"/>
        <v>5.8753645693354617E-6</v>
      </c>
      <c r="J18" s="56"/>
      <c r="K18" s="53"/>
      <c r="L18" s="53"/>
    </row>
    <row r="19" spans="1:19" ht="14" customHeight="1" x14ac:dyDescent="0.35">
      <c r="B19" s="395" t="s">
        <v>38</v>
      </c>
      <c r="C19" s="394">
        <f>+'Table U1'!K15</f>
        <v>51.200800779999994</v>
      </c>
      <c r="D19" s="39">
        <f>TableC4!C17/(C19*1000)</f>
        <v>0.1092086392693776</v>
      </c>
      <c r="E19" s="359">
        <f>+TableC4!D17/(TableC4c!$C19*1000)</f>
        <v>9.4904700467635522E-2</v>
      </c>
      <c r="F19" s="360">
        <f t="shared" si="0"/>
        <v>1.4303938801742078E-2</v>
      </c>
      <c r="G19" s="39">
        <f>TableC4!N17/(C19*1000)</f>
        <v>0.11161500224198265</v>
      </c>
      <c r="H19" s="359">
        <f>+TableC4!O17/(TableC4c!$C19*1000)</f>
        <v>6.4953997625451565E-2</v>
      </c>
      <c r="I19" s="385">
        <f t="shared" si="1"/>
        <v>4.6661004616531082E-2</v>
      </c>
      <c r="J19" s="56"/>
      <c r="K19" s="53"/>
      <c r="L19" s="53"/>
    </row>
    <row r="20" spans="1:19" ht="14" customHeight="1" x14ac:dyDescent="0.35">
      <c r="B20" s="398" t="s">
        <v>39</v>
      </c>
      <c r="C20" s="394">
        <f>+'Table U1'!K16</f>
        <v>5.7749228500000003</v>
      </c>
      <c r="D20" s="39">
        <f>TableC4!C18/(C20*1000)</f>
        <v>7.0664981320644638E-2</v>
      </c>
      <c r="E20" s="359">
        <f>+TableC4!D18/(TableC4c!$C20*1000)</f>
        <v>5.6063027890845697E-2</v>
      </c>
      <c r="F20" s="360">
        <f t="shared" si="0"/>
        <v>1.460195342979894E-2</v>
      </c>
      <c r="G20" s="39">
        <f>TableC4!N18/(C20*1000)</f>
        <v>-1.1041427324958012E-3</v>
      </c>
      <c r="H20" s="359">
        <f>+TableC4!O18/(TableC4c!$C20*1000)</f>
        <v>-1.1041427324958012E-3</v>
      </c>
      <c r="I20" s="385">
        <f t="shared" si="1"/>
        <v>0</v>
      </c>
      <c r="J20" s="56"/>
      <c r="K20" s="53"/>
      <c r="L20" s="53"/>
    </row>
    <row r="21" spans="1:19" ht="14" customHeight="1" x14ac:dyDescent="0.35">
      <c r="B21" s="395" t="s">
        <v>40</v>
      </c>
      <c r="C21" s="394">
        <f>+'Table U1'!K17</f>
        <v>36.337035159999999</v>
      </c>
      <c r="D21" s="39">
        <f>TableC4!C19/(C21*1000)</f>
        <v>0.13122208488751996</v>
      </c>
      <c r="E21" s="359">
        <f>+TableC4!D19/(TableC4c!$C21*1000)</f>
        <v>0.10712988134205902</v>
      </c>
      <c r="F21" s="360">
        <f t="shared" si="0"/>
        <v>2.4092203545460947E-2</v>
      </c>
      <c r="G21" s="39">
        <f>TableC4!N19/(C21*1000)</f>
        <v>9.7772739700669645E-2</v>
      </c>
      <c r="H21" s="359">
        <f>+TableC4!O19/(TableC4c!$C21*1000)</f>
        <v>8.8292142302992038E-2</v>
      </c>
      <c r="I21" s="385">
        <f t="shared" si="1"/>
        <v>9.4805973976776065E-3</v>
      </c>
      <c r="J21" s="56"/>
      <c r="K21" s="53"/>
      <c r="L21" s="53"/>
    </row>
    <row r="22" spans="1:19" ht="14" customHeight="1" x14ac:dyDescent="0.35">
      <c r="B22" s="398" t="s">
        <v>41</v>
      </c>
      <c r="C22" s="394">
        <f>+'Table U1'!K18</f>
        <v>220.2555625</v>
      </c>
      <c r="D22" s="39">
        <f>TableC4!C20/(C22*1000)</f>
        <v>0.19323704378900011</v>
      </c>
      <c r="E22" s="359">
        <f>+TableC4!D20/(TableC4c!$C22*1000)</f>
        <v>0.16046927821328386</v>
      </c>
      <c r="F22" s="360">
        <f t="shared" si="0"/>
        <v>3.2767765575716257E-2</v>
      </c>
      <c r="G22" s="39">
        <f>TableC4!N20/(C22*1000)</f>
        <v>0.45948501647674017</v>
      </c>
      <c r="H22" s="359">
        <f>+TableC4!O20/(TableC4c!$C22*1000)</f>
        <v>0.36317684563055092</v>
      </c>
      <c r="I22" s="385">
        <f t="shared" si="1"/>
        <v>9.6308170846189256E-2</v>
      </c>
      <c r="J22" s="56"/>
      <c r="K22" s="56"/>
      <c r="L22" s="56"/>
    </row>
    <row r="23" spans="1:19" ht="14" customHeight="1" x14ac:dyDescent="0.35">
      <c r="B23" s="395" t="s">
        <v>42</v>
      </c>
      <c r="C23" s="394">
        <f>+'Table U1'!K19</f>
        <v>518.68740624999998</v>
      </c>
      <c r="D23" s="39">
        <f>TableC4!C21/(C23*1000)</f>
        <v>0.14566338924594394</v>
      </c>
      <c r="E23" s="359">
        <f>+TableC4!D21/(TableC4c!$C23*1000)</f>
        <v>0.12215070934208475</v>
      </c>
      <c r="F23" s="360">
        <f t="shared" si="0"/>
        <v>2.351267990385919E-2</v>
      </c>
      <c r="G23" s="39">
        <f>TableC4!N21/(C23*1000)</f>
        <v>0.10804826941666852</v>
      </c>
      <c r="H23" s="359">
        <f>+TableC4!O21/(TableC4c!$C23*1000)</f>
        <v>7.6905824589560398E-2</v>
      </c>
      <c r="I23" s="385">
        <f t="shared" si="1"/>
        <v>3.1142444827108123E-2</v>
      </c>
      <c r="J23" s="56"/>
      <c r="K23" s="56"/>
      <c r="L23" s="56"/>
    </row>
    <row r="24" spans="1:19" ht="14" customHeight="1" x14ac:dyDescent="0.35">
      <c r="B24" s="395" t="s">
        <v>43</v>
      </c>
      <c r="C24" s="394">
        <f>+'Table U1'!K20</f>
        <v>18.8516543</v>
      </c>
      <c r="D24" s="39">
        <f>TableC4!C22/(C24*1000)</f>
        <v>0.1019421818963703</v>
      </c>
      <c r="E24" s="359">
        <f>+TableC4!D22/(TableC4c!$C24*1000)</f>
        <v>8.5933905205638567E-2</v>
      </c>
      <c r="F24" s="360">
        <f t="shared" si="0"/>
        <v>1.6008276690731738E-2</v>
      </c>
      <c r="G24" s="39">
        <f>TableC4!N22/(C24*1000)</f>
        <v>3.6660508002860338E-2</v>
      </c>
      <c r="H24" s="359">
        <f>+TableC4!O22/(TableC4c!$C24*1000)</f>
        <v>3.6593807348602771E-2</v>
      </c>
      <c r="I24" s="385">
        <f t="shared" si="1"/>
        <v>6.670065425756766E-5</v>
      </c>
      <c r="J24" s="56"/>
      <c r="K24" s="56"/>
      <c r="L24" s="56"/>
    </row>
    <row r="25" spans="1:19" ht="14" customHeight="1" x14ac:dyDescent="0.35">
      <c r="B25" s="395" t="s">
        <v>44</v>
      </c>
      <c r="C25" s="394">
        <f>+'Table U1'!K21</f>
        <v>26.26563281</v>
      </c>
      <c r="D25" s="39">
        <f>TableC4!C23/(C25*1000)</f>
        <v>0.2197155560498294</v>
      </c>
      <c r="E25" s="359">
        <f>+TableC4!D23/(TableC4c!$C25*1000)</f>
        <v>0.18834557088608289</v>
      </c>
      <c r="F25" s="360">
        <f t="shared" si="0"/>
        <v>3.1369985163746505E-2</v>
      </c>
      <c r="G25" s="39">
        <f>TableC4!N23/(C25*1000)</f>
        <v>2.9939723675742474E-2</v>
      </c>
      <c r="H25" s="359">
        <f>+TableC4!O23/(TableC4c!$C25*1000)</f>
        <v>2.9522964354385468E-2</v>
      </c>
      <c r="I25" s="385">
        <f t="shared" si="1"/>
        <v>4.1675932135700616E-4</v>
      </c>
      <c r="J25" s="56"/>
      <c r="K25" s="56"/>
      <c r="L25" s="56"/>
    </row>
    <row r="26" spans="1:19" ht="14" customHeight="1" x14ac:dyDescent="0.35">
      <c r="B26" s="395" t="s">
        <v>45</v>
      </c>
      <c r="C26" s="394">
        <f>+'Table U1'!K22</f>
        <v>2.0337032902496257</v>
      </c>
      <c r="D26" s="39">
        <f>TableC4!C24/(C26*1000)</f>
        <v>0.32395738079465242</v>
      </c>
      <c r="E26" s="359">
        <f>+TableC4!D24/(TableC4c!$C26*1000)</f>
        <v>0.12196080574450727</v>
      </c>
      <c r="F26" s="360">
        <f t="shared" si="0"/>
        <v>0.20199657505014515</v>
      </c>
      <c r="G26" s="39">
        <f>TableC4!N24/(C26*1000)</f>
        <v>1.059440879316632E-2</v>
      </c>
      <c r="H26" s="359">
        <f>+TableC4!O24/(TableC4c!$C26*1000)</f>
        <v>1.0063708134804705E-2</v>
      </c>
      <c r="I26" s="385">
        <f t="shared" si="1"/>
        <v>5.3070065836161549E-4</v>
      </c>
      <c r="J26" s="56"/>
      <c r="K26" s="56"/>
      <c r="L26" s="56"/>
    </row>
    <row r="27" spans="1:19" ht="14" customHeight="1" x14ac:dyDescent="0.35">
      <c r="B27" s="395" t="s">
        <v>46</v>
      </c>
      <c r="C27" s="394"/>
      <c r="D27" s="39"/>
      <c r="E27" s="359"/>
      <c r="F27" s="360"/>
      <c r="G27" s="39"/>
      <c r="H27" s="359"/>
      <c r="I27" s="385"/>
      <c r="J27" s="56"/>
      <c r="K27" s="56"/>
      <c r="L27" s="56"/>
    </row>
    <row r="28" spans="1:19" ht="14" customHeight="1" x14ac:dyDescent="0.35">
      <c r="B28" s="395" t="s">
        <v>47</v>
      </c>
      <c r="C28" s="394">
        <f>+'Table U1'!K24</f>
        <v>74.033171879999998</v>
      </c>
      <c r="D28" s="39">
        <f>TableC4!C26/(C28*1000)</f>
        <v>6.5640283992055751E-2</v>
      </c>
      <c r="E28" s="359">
        <f>+TableC4!D26/(TableC4c!$C28*1000)</f>
        <v>5.1294386317976897E-3</v>
      </c>
      <c r="F28" s="360">
        <f>+D28-E28</f>
        <v>6.051084536025806E-2</v>
      </c>
      <c r="G28" s="39">
        <f>TableC4!N26/(C28*1000)</f>
        <v>1.1343380466561666E-2</v>
      </c>
      <c r="H28" s="359">
        <f>+TableC4!O26/(TableC4c!$C28*1000)</f>
        <v>1.4041464464427241E-3</v>
      </c>
      <c r="I28" s="385"/>
      <c r="J28" s="56"/>
      <c r="K28" s="56"/>
      <c r="L28" s="56"/>
    </row>
    <row r="29" spans="1:19" ht="14" customHeight="1" x14ac:dyDescent="0.35">
      <c r="B29" s="395" t="s">
        <v>48</v>
      </c>
      <c r="C29" s="394">
        <f>+'Table U1'!K25</f>
        <v>280.77043750000001</v>
      </c>
      <c r="D29" s="39">
        <f>TableC4!C27/(C29*1000)</f>
        <v>0.10304211909031655</v>
      </c>
      <c r="E29" s="359">
        <f>+TableC4!D27/(TableC4c!$C29*1000)</f>
        <v>9.1368869653518467E-2</v>
      </c>
      <c r="F29" s="360">
        <f>+D29-E29</f>
        <v>1.167324943679808E-2</v>
      </c>
      <c r="G29" s="39">
        <f>TableC4!N27/(C29*1000)</f>
        <v>2.0962723391432209E-2</v>
      </c>
      <c r="H29" s="359">
        <f>+TableC4!O27/(TableC4c!$C29*1000)</f>
        <v>1.4114876389569046E-2</v>
      </c>
      <c r="I29" s="385">
        <f>+G29-H29</f>
        <v>6.8478470018631631E-3</v>
      </c>
      <c r="J29" s="56"/>
      <c r="K29" s="56"/>
      <c r="L29" s="56"/>
    </row>
    <row r="30" spans="1:19" ht="14" customHeight="1" x14ac:dyDescent="0.35">
      <c r="B30" s="395" t="s">
        <v>49</v>
      </c>
      <c r="C30" s="394">
        <f>+'Table U1'!K26</f>
        <v>614.32806249999999</v>
      </c>
      <c r="D30" s="39">
        <f>TableC4!C28/(C30*1000)</f>
        <v>2.8676445493281782E-2</v>
      </c>
      <c r="E30" s="359">
        <f>+TableC4!D28/(TableC4c!$C30*1000)</f>
        <v>1.6146404393221982E-2</v>
      </c>
      <c r="F30" s="360">
        <f>+D30-E30</f>
        <v>1.2530041100059799E-2</v>
      </c>
      <c r="G30" s="39">
        <f>TableC4!N28/(C30*1000)</f>
        <v>4.9384274820069879E-2</v>
      </c>
      <c r="H30" s="359">
        <f>+TableC4!O28/(TableC4c!$C30*1000)</f>
        <v>2.1725459265730777E-2</v>
      </c>
      <c r="I30" s="385">
        <f>+G30-H30</f>
        <v>2.7658815554339102E-2</v>
      </c>
      <c r="J30" s="56"/>
      <c r="K30" s="56"/>
      <c r="L30" s="56"/>
    </row>
    <row r="31" spans="1:19" ht="14" customHeight="1" x14ac:dyDescent="0.35">
      <c r="A31" s="253" t="s">
        <v>298</v>
      </c>
      <c r="B31" s="395" t="s">
        <v>50</v>
      </c>
      <c r="C31" s="394">
        <f>+'Table U1'!K27</f>
        <v>294.73221875000002</v>
      </c>
      <c r="D31" s="39">
        <f>TableC4!C29/(C31*1000)</f>
        <v>3.4051676624532068E-2</v>
      </c>
      <c r="E31" s="359">
        <f>+TableC4!D29/(TableC4c!$C31*1000)</f>
        <v>6.4441740893703622E-3</v>
      </c>
      <c r="F31" s="360">
        <f>+D31-E31</f>
        <v>2.7607502535161706E-2</v>
      </c>
      <c r="G31" s="39">
        <f>TableC4!N29/(C31*1000)</f>
        <v>8.3505585188157691E-3</v>
      </c>
      <c r="H31" s="359">
        <f>+TableC4!O29/(TableC4c!$C31*1000)</f>
        <v>4.1596807547231128E-3</v>
      </c>
      <c r="I31" s="385">
        <f>+G31-H31</f>
        <v>4.1908777640926563E-3</v>
      </c>
      <c r="J31" s="56"/>
      <c r="K31" s="56"/>
      <c r="L31" s="56"/>
    </row>
    <row r="32" spans="1:19" ht="14" customHeight="1" x14ac:dyDescent="0.35">
      <c r="B32" s="388" t="s">
        <v>51</v>
      </c>
      <c r="C32" s="394">
        <f>+'Table U1'!K28</f>
        <v>4.3954589799999999</v>
      </c>
      <c r="D32" s="39">
        <f>TableC4!C30/(C32*1000)</f>
        <v>8.727576056889419E-2</v>
      </c>
      <c r="E32" s="359">
        <f>+TableC4!D30/(TableC4c!$C32*1000)</f>
        <v>6.380963130808677E-2</v>
      </c>
      <c r="F32" s="360">
        <f>+D32-E32</f>
        <v>2.346612926080742E-2</v>
      </c>
      <c r="G32" s="39">
        <f>TableC4!N30/(C32*1000)</f>
        <v>-4.6414020494565424E-4</v>
      </c>
      <c r="H32" s="359">
        <f>+TableC4!O30/(TableC4c!$C32*1000)</f>
        <v>-4.9453535775700799E-4</v>
      </c>
      <c r="I32" s="385">
        <f>+G32-H32</f>
        <v>3.039515281135375E-5</v>
      </c>
      <c r="J32" s="56"/>
      <c r="K32" s="56"/>
      <c r="L32" s="56"/>
    </row>
    <row r="33" spans="1:12" ht="14" customHeight="1" x14ac:dyDescent="0.35">
      <c r="B33" s="388" t="s">
        <v>52</v>
      </c>
      <c r="C33" s="394"/>
      <c r="D33" s="39"/>
      <c r="E33" s="359"/>
      <c r="F33" s="360"/>
      <c r="G33" s="39"/>
      <c r="H33" s="359"/>
      <c r="I33" s="385"/>
      <c r="J33" s="56"/>
      <c r="K33" s="56"/>
      <c r="L33" s="56"/>
    </row>
    <row r="34" spans="1:12" ht="14" customHeight="1" x14ac:dyDescent="0.35">
      <c r="B34" s="388" t="s">
        <v>53</v>
      </c>
      <c r="C34" s="394">
        <f>+'Table U1'!K30</f>
        <v>317.60262499999999</v>
      </c>
      <c r="D34" s="39">
        <f>TableC4!C32/(C34*1000)</f>
        <v>6.4110319576240332E-2</v>
      </c>
      <c r="E34" s="359">
        <f>+TableC4!D32/(TableC4c!$C34*1000)</f>
        <v>1.37835922397519E-2</v>
      </c>
      <c r="F34" s="360">
        <f>+D34-E34</f>
        <v>5.0326727336488436E-2</v>
      </c>
      <c r="G34" s="39">
        <f>TableC4!N32/(C34*1000)</f>
        <v>1.7997737119445384E-2</v>
      </c>
      <c r="H34" s="359">
        <f>+TableC4!O32/(TableC4c!$C34*1000)</f>
        <v>1.4883894049965981E-2</v>
      </c>
      <c r="I34" s="385">
        <f>+G34-H34</f>
        <v>3.113843069479403E-3</v>
      </c>
      <c r="J34" s="56"/>
      <c r="K34" s="56"/>
      <c r="L34" s="56"/>
    </row>
    <row r="35" spans="1:12" ht="14" customHeight="1" x14ac:dyDescent="0.35">
      <c r="B35" s="388" t="s">
        <v>54</v>
      </c>
      <c r="C35" s="394"/>
      <c r="D35" s="39"/>
      <c r="E35" s="359"/>
      <c r="F35" s="360"/>
      <c r="G35" s="39"/>
      <c r="H35" s="359"/>
      <c r="I35" s="385"/>
      <c r="J35" s="56"/>
      <c r="K35" s="56"/>
      <c r="L35" s="56"/>
    </row>
    <row r="36" spans="1:12" ht="14" customHeight="1" x14ac:dyDescent="0.35">
      <c r="B36" s="388" t="s">
        <v>55</v>
      </c>
      <c r="C36" s="394">
        <f>+'Table U1'!K32</f>
        <v>36.535996089999998</v>
      </c>
      <c r="D36" s="39">
        <f>TableC4!C34/(C36*1000)</f>
        <v>8.636758538971144E-2</v>
      </c>
      <c r="E36" s="359">
        <f>+TableC4!D34/(TableC4c!$C36*1000)</f>
        <v>1.5735429604326934E-2</v>
      </c>
      <c r="F36" s="360">
        <f t="shared" ref="F36:F43" si="2">+D36-E36</f>
        <v>7.0632155785384509E-2</v>
      </c>
      <c r="G36" s="39">
        <f>TableC4!N34/(C36*1000)</f>
        <v>2.8581806329850898E-2</v>
      </c>
      <c r="H36" s="359">
        <f>+TableC4!O34/(TableC4c!$C36*1000)</f>
        <v>-4.6691344528578017E-3</v>
      </c>
      <c r="I36" s="385">
        <f t="shared" ref="I36:I43" si="3">+G36-H36</f>
        <v>3.3250940782708696E-2</v>
      </c>
      <c r="J36" s="56"/>
      <c r="K36" s="56"/>
      <c r="L36" s="56"/>
    </row>
    <row r="37" spans="1:12" ht="14" customHeight="1" x14ac:dyDescent="0.35">
      <c r="B37" s="388" t="s">
        <v>56</v>
      </c>
      <c r="C37" s="394">
        <f>+'Table U1'!K33</f>
        <v>78.26272655999999</v>
      </c>
      <c r="D37" s="39">
        <f>TableC4!C35/(C37*1000)</f>
        <v>0.10391118979303499</v>
      </c>
      <c r="E37" s="359">
        <f>+TableC4!D35/(TableC4c!$C37*1000)</f>
        <v>4.2049514832363924E-2</v>
      </c>
      <c r="F37" s="360">
        <f t="shared" si="2"/>
        <v>6.1861674960671062E-2</v>
      </c>
      <c r="G37" s="39">
        <f>TableC4!N35/(C37*1000)</f>
        <v>0.10912457034798255</v>
      </c>
      <c r="H37" s="359">
        <f>+TableC4!O35/(TableC4c!$C37*1000)</f>
        <v>7.713160432861918E-2</v>
      </c>
      <c r="I37" s="385">
        <f t="shared" si="3"/>
        <v>3.199296601936337E-2</v>
      </c>
      <c r="J37" s="56"/>
      <c r="K37" s="56"/>
      <c r="L37" s="56"/>
    </row>
    <row r="38" spans="1:12" ht="14" customHeight="1" x14ac:dyDescent="0.35">
      <c r="B38" s="388" t="s">
        <v>57</v>
      </c>
      <c r="C38" s="394">
        <f>+'Table U1'!K34</f>
        <v>99.780570310000002</v>
      </c>
      <c r="D38" s="39">
        <f>TableC4!C36/(C38*1000)</f>
        <v>5.36426035270497E-2</v>
      </c>
      <c r="E38" s="359">
        <f>+TableC4!D36/(TableC4c!$C38*1000)</f>
        <v>4.6656545856068342E-2</v>
      </c>
      <c r="F38" s="360">
        <f t="shared" si="2"/>
        <v>6.9860576709813577E-3</v>
      </c>
      <c r="G38" s="39">
        <f>TableC4!N36/(C38*1000)</f>
        <v>-3.9817218367417175E-2</v>
      </c>
      <c r="H38" s="359">
        <f>+TableC4!O36/(TableC4c!$C38*1000)</f>
        <v>-3.9846170669695716E-2</v>
      </c>
      <c r="I38" s="385">
        <f t="shared" si="3"/>
        <v>2.8952302278541231E-5</v>
      </c>
      <c r="J38" s="56"/>
      <c r="K38" s="56"/>
      <c r="L38" s="56"/>
    </row>
    <row r="39" spans="1:12" ht="14" customHeight="1" x14ac:dyDescent="0.35">
      <c r="B39" s="388" t="s">
        <v>58</v>
      </c>
      <c r="C39" s="394">
        <f>+'Table U1'!K35</f>
        <v>31.016179690000001</v>
      </c>
      <c r="D39" s="39">
        <f>TableC4!C37/(C39*1000)</f>
        <v>0.11123018630805188</v>
      </c>
      <c r="E39" s="359">
        <f>+TableC4!D37/(TableC4c!$C39*1000)</f>
        <v>0.10001324921688723</v>
      </c>
      <c r="F39" s="360">
        <f t="shared" si="2"/>
        <v>1.1216937091164655E-2</v>
      </c>
      <c r="G39" s="39">
        <f>TableC4!N37/(C39*1000)</f>
        <v>1.4092188590909018E-2</v>
      </c>
      <c r="H39" s="359">
        <f>+TableC4!O37/(TableC4c!$C39*1000)</f>
        <v>1.6097528898939285E-4</v>
      </c>
      <c r="I39" s="385">
        <f t="shared" si="3"/>
        <v>1.3931213301919626E-2</v>
      </c>
      <c r="J39" s="56"/>
      <c r="K39" s="56"/>
      <c r="L39" s="56"/>
    </row>
    <row r="40" spans="1:12" ht="14" customHeight="1" x14ac:dyDescent="0.35">
      <c r="A40" s="253" t="s">
        <v>59</v>
      </c>
      <c r="B40" s="388" t="s">
        <v>293</v>
      </c>
      <c r="C40" s="394">
        <f>+'Table U1'!K36</f>
        <v>15.407387699999999</v>
      </c>
      <c r="D40" s="39">
        <f>TableC4!C38/(C40*1000)</f>
        <v>6.8105677762607633E-2</v>
      </c>
      <c r="E40" s="359">
        <f>+TableC4!D38/(TableC4c!$C40*1000)</f>
        <v>5.8232118951922714E-2</v>
      </c>
      <c r="F40" s="360">
        <f t="shared" si="2"/>
        <v>9.8735588106849195E-3</v>
      </c>
      <c r="G40" s="39">
        <f>TableC4!N38/(C40*1000)</f>
        <v>9.1763444314019848E-3</v>
      </c>
      <c r="H40" s="359">
        <f>+TableC4!O38/(TableC4c!$C40*1000)</f>
        <v>8.8145778254208398E-3</v>
      </c>
      <c r="I40" s="385">
        <f t="shared" si="3"/>
        <v>3.6176660598114495E-4</v>
      </c>
      <c r="J40" s="56"/>
      <c r="K40" s="56"/>
      <c r="L40" s="56"/>
    </row>
    <row r="41" spans="1:12" ht="14" customHeight="1" x14ac:dyDescent="0.35">
      <c r="B41" s="388" t="s">
        <v>60</v>
      </c>
      <c r="C41" s="394">
        <f>+'Table U1'!K37</f>
        <v>5.1024096700000001</v>
      </c>
      <c r="D41" s="39">
        <f>TableC4!C39/(C41*1000)</f>
        <v>8.1220059879267406E-2</v>
      </c>
      <c r="E41" s="359">
        <f>+TableC4!D39/(TableC4c!$C41*1000)</f>
        <v>6.413369379435746E-2</v>
      </c>
      <c r="F41" s="360">
        <f t="shared" si="2"/>
        <v>1.7086366084909946E-2</v>
      </c>
      <c r="G41" s="39">
        <f>TableC4!N39/(C41*1000)</f>
        <v>-2.1743626325126464E-3</v>
      </c>
      <c r="H41" s="359">
        <f>+TableC4!O39/(TableC4c!$C41*1000)</f>
        <v>-2.3364519572004984E-3</v>
      </c>
      <c r="I41" s="385">
        <f t="shared" si="3"/>
        <v>1.6208932468785194E-4</v>
      </c>
      <c r="J41" s="56"/>
      <c r="K41" s="56"/>
      <c r="L41" s="56"/>
    </row>
    <row r="42" spans="1:12" ht="14" customHeight="1" x14ac:dyDescent="0.35">
      <c r="B42" s="388" t="s">
        <v>61</v>
      </c>
      <c r="C42" s="394">
        <f>+'Table U1'!K38</f>
        <v>196.68835938000001</v>
      </c>
      <c r="D42" s="39">
        <f>TableC4!C40/(C42*1000)</f>
        <v>0.10720699042705899</v>
      </c>
      <c r="E42" s="359">
        <f>+TableC4!D40/(TableC4c!$C42*1000)</f>
        <v>9.0077716012005316E-2</v>
      </c>
      <c r="F42" s="360">
        <f t="shared" si="2"/>
        <v>1.7129274415053672E-2</v>
      </c>
      <c r="G42" s="39">
        <f>TableC4!N40/(C42*1000)</f>
        <v>2.4778865633933309E-2</v>
      </c>
      <c r="H42" s="359">
        <f>+TableC4!O40/(TableC4c!$C42*1000)</f>
        <v>8.8157310744397289E-3</v>
      </c>
      <c r="I42" s="385">
        <f t="shared" si="3"/>
        <v>1.596313455949358E-2</v>
      </c>
      <c r="J42" s="56"/>
      <c r="K42" s="56"/>
      <c r="L42" s="56"/>
    </row>
    <row r="43" spans="1:12" s="318" customFormat="1" ht="14" customHeight="1" x14ac:dyDescent="0.35">
      <c r="B43" s="397" t="s">
        <v>62</v>
      </c>
      <c r="C43" s="394">
        <f>+'Table U1'!K39</f>
        <v>68.312031250000004</v>
      </c>
      <c r="D43" s="39">
        <f>TableC4!C41/(C43*1000)</f>
        <v>0.18399783141745391</v>
      </c>
      <c r="E43" s="359">
        <f>+TableC4!D41/(TableC4c!$C43*1000)</f>
        <v>0.15546564306391633</v>
      </c>
      <c r="F43" s="360">
        <f t="shared" si="2"/>
        <v>2.8532188353537574E-2</v>
      </c>
      <c r="G43" s="39">
        <f>TableC4!N41/(C43*1000)</f>
        <v>0.2182444808969484</v>
      </c>
      <c r="H43" s="359">
        <f>+TableC4!O41/(TableC4c!$C43*1000)</f>
        <v>0.1550508823409435</v>
      </c>
      <c r="I43" s="385">
        <f t="shared" si="3"/>
        <v>6.3193598556004899E-2</v>
      </c>
      <c r="J43" s="56"/>
      <c r="K43" s="56"/>
      <c r="L43" s="56"/>
    </row>
    <row r="44" spans="1:12" ht="14" customHeight="1" x14ac:dyDescent="0.35">
      <c r="B44" s="388" t="s">
        <v>63</v>
      </c>
      <c r="C44" s="394"/>
      <c r="D44" s="39"/>
      <c r="E44" s="359"/>
      <c r="F44" s="360"/>
      <c r="G44" s="39"/>
      <c r="H44" s="359"/>
      <c r="I44" s="385"/>
      <c r="J44" s="56"/>
      <c r="K44" s="56"/>
      <c r="L44" s="56"/>
    </row>
    <row r="45" spans="1:12" ht="14" customHeight="1" x14ac:dyDescent="0.35">
      <c r="B45" s="388" t="s">
        <v>64</v>
      </c>
      <c r="C45" s="394">
        <f>+'Table U1'!K41</f>
        <v>166.56882811999998</v>
      </c>
      <c r="D45" s="39">
        <f>TableC4!C43/(C45*1000)</f>
        <v>3.4418246008268101E-2</v>
      </c>
      <c r="E45" s="359">
        <f>+TableC4!D43/(TableC4c!$C45*1000)</f>
        <v>1.0501430305628003E-2</v>
      </c>
      <c r="F45" s="360">
        <f t="shared" ref="F45:F76" si="4">+D45-E45</f>
        <v>2.39168157026401E-2</v>
      </c>
      <c r="G45" s="39">
        <f>TableC4!N43/(C45*1000)</f>
        <v>4.4181526623101007E-3</v>
      </c>
      <c r="H45" s="359">
        <f>+TableC4!O43/(TableC4c!$C45*1000)</f>
        <v>4.2337503413842556E-3</v>
      </c>
      <c r="I45" s="385">
        <f t="shared" ref="I45:I76" si="5">+G45-H45</f>
        <v>1.844023209258451E-4</v>
      </c>
      <c r="J45" s="56"/>
      <c r="K45" s="56"/>
      <c r="L45" s="56"/>
    </row>
    <row r="46" spans="1:12" ht="14" customHeight="1" x14ac:dyDescent="0.35">
      <c r="B46" s="388" t="s">
        <v>65</v>
      </c>
      <c r="C46" s="394">
        <f>+'Table U1'!K42</f>
        <v>384.46734375</v>
      </c>
      <c r="D46" s="39">
        <f>TableC4!C44/(C46*1000)</f>
        <v>0.28510206102899532</v>
      </c>
      <c r="E46" s="359">
        <f>+TableC4!D44/(TableC4c!$C46*1000)</f>
        <v>0.21642980850914517</v>
      </c>
      <c r="F46" s="360">
        <f t="shared" si="4"/>
        <v>6.8672252519850152E-2</v>
      </c>
      <c r="G46" s="39">
        <f>TableC4!N44/(C46*1000)</f>
        <v>0.22274997497388349</v>
      </c>
      <c r="H46" s="359">
        <f>+TableC4!O44/(TableC4c!$C46*1000)</f>
        <v>0.15864846901602581</v>
      </c>
      <c r="I46" s="385">
        <f t="shared" si="5"/>
        <v>6.4101505957857685E-2</v>
      </c>
      <c r="J46" s="56"/>
      <c r="K46" s="56"/>
      <c r="L46" s="56"/>
    </row>
    <row r="47" spans="1:12" ht="14" customHeight="1" x14ac:dyDescent="0.35">
      <c r="B47" s="388" t="s">
        <v>66</v>
      </c>
      <c r="C47" s="394">
        <f>+'Table U1'!K43</f>
        <v>2028.8595</v>
      </c>
      <c r="D47" s="39">
        <f>TableC4!C45/(C47*1000)</f>
        <v>8.1467870031205883E-2</v>
      </c>
      <c r="E47" s="359">
        <f>+TableC4!D45/(TableC4c!$C47*1000)</f>
        <v>2.2990014249040513E-2</v>
      </c>
      <c r="F47" s="360">
        <f t="shared" si="4"/>
        <v>5.8477855782165369E-2</v>
      </c>
      <c r="G47" s="39">
        <f>TableC4!N45/(C47*1000)</f>
        <v>0.23667564161423404</v>
      </c>
      <c r="H47" s="359">
        <f>+TableC4!O45/(TableC4c!$C47*1000)</f>
        <v>0.13300479874966653</v>
      </c>
      <c r="I47" s="385">
        <f t="shared" si="5"/>
        <v>0.10367084286456751</v>
      </c>
      <c r="J47" s="56"/>
      <c r="K47" s="56"/>
      <c r="L47" s="56"/>
    </row>
    <row r="48" spans="1:12" ht="40" customHeight="1" x14ac:dyDescent="0.35">
      <c r="B48" s="393" t="s">
        <v>67</v>
      </c>
      <c r="C48" s="396">
        <f>SUM(C49:C55)</f>
        <v>4312.5454363233239</v>
      </c>
      <c r="D48" s="43">
        <f>TableC4!C46/(C48*1000)</f>
        <v>3.9657947218213106E-2</v>
      </c>
      <c r="E48" s="42">
        <f>+TableC4!D46/(TableC4c!$C48*1000)</f>
        <v>6.4686269755538182E-3</v>
      </c>
      <c r="F48" s="357">
        <f t="shared" si="4"/>
        <v>3.318932024265929E-2</v>
      </c>
      <c r="G48" s="43">
        <f>TableC4!N46/(C48*1000)</f>
        <v>2.3063680750066772E-2</v>
      </c>
      <c r="H48" s="42">
        <f>+TableC4!O46/(TableC4c!$C48*1000)</f>
        <v>2.4607750462601803E-3</v>
      </c>
      <c r="I48" s="380">
        <f t="shared" si="5"/>
        <v>2.0602905703806591E-2</v>
      </c>
      <c r="J48" s="42"/>
      <c r="K48" s="42"/>
      <c r="L48" s="42"/>
    </row>
    <row r="49" spans="1:12" x14ac:dyDescent="0.35">
      <c r="B49" s="395" t="s">
        <v>68</v>
      </c>
      <c r="C49" s="394">
        <f>+'Table U1'!K45</f>
        <v>351.06943749999999</v>
      </c>
      <c r="D49" s="39">
        <f>TableC4!C47/(C49*1000)</f>
        <v>7.6386300503075127E-2</v>
      </c>
      <c r="E49" s="359">
        <f>+TableC4!D47/(TableC4c!$C49*1000)</f>
        <v>1.9420037225180587E-2</v>
      </c>
      <c r="F49" s="360">
        <f t="shared" si="4"/>
        <v>5.6966263277894544E-2</v>
      </c>
      <c r="G49" s="39">
        <f>TableC4!N47/(C49*1000)</f>
        <v>3.0344442608550775E-2</v>
      </c>
      <c r="H49" s="359">
        <f>+TableC4!O47/(TableC4c!$C49*1000)</f>
        <v>2.9014849740457125E-2</v>
      </c>
      <c r="I49" s="385">
        <f t="shared" si="5"/>
        <v>1.32959286809365E-3</v>
      </c>
      <c r="J49" s="56"/>
      <c r="K49" s="56"/>
      <c r="L49" s="56"/>
    </row>
    <row r="50" spans="1:12" x14ac:dyDescent="0.35">
      <c r="A50" s="343" t="s">
        <v>69</v>
      </c>
      <c r="B50" s="388" t="s">
        <v>70</v>
      </c>
      <c r="C50" s="394">
        <f>+'Table U1'!K46</f>
        <v>2923.3314999999998</v>
      </c>
      <c r="D50" s="39">
        <f>TableC4!C48/(C50*1000)</f>
        <v>3.1708109019327309E-2</v>
      </c>
      <c r="E50" s="359">
        <f>+TableC4!D48/(TableC4c!$C50*1000)</f>
        <v>2.5756188273656686E-3</v>
      </c>
      <c r="F50" s="360">
        <f t="shared" si="4"/>
        <v>2.9132490191961641E-2</v>
      </c>
      <c r="G50" s="39">
        <f>TableC4!N48/(C50*1000)</f>
        <v>2.4480225762292605E-2</v>
      </c>
      <c r="H50" s="359">
        <f>+TableC4!O48/(TableC4c!$C50*1000)</f>
        <v>3.4581715762863128E-6</v>
      </c>
      <c r="I50" s="385">
        <f t="shared" si="5"/>
        <v>2.447676759071632E-2</v>
      </c>
      <c r="J50" s="56"/>
      <c r="K50" s="56"/>
      <c r="L50" s="56"/>
    </row>
    <row r="51" spans="1:12" x14ac:dyDescent="0.35">
      <c r="B51" s="388" t="s">
        <v>71</v>
      </c>
      <c r="C51" s="394">
        <f>+'Table U1'!K47</f>
        <v>61.907554689999998</v>
      </c>
      <c r="D51" s="39">
        <f>TableC4!C49/(C51*1000)</f>
        <v>3.6324531025644979E-2</v>
      </c>
      <c r="E51" s="359">
        <f>+TableC4!D49/(TableC4c!$C51*1000)</f>
        <v>9.9889205629528632E-3</v>
      </c>
      <c r="F51" s="360">
        <f t="shared" si="4"/>
        <v>2.6335610462692116E-2</v>
      </c>
      <c r="G51" s="39">
        <f>TableC4!N49/(C51*1000)</f>
        <v>2.5370145916229249E-2</v>
      </c>
      <c r="H51" s="359">
        <f>+TableC4!O49/(TableC4c!$C51*1000)</f>
        <v>-7.486223078446374E-5</v>
      </c>
      <c r="I51" s="385">
        <f t="shared" si="5"/>
        <v>2.5445008147013712E-2</v>
      </c>
      <c r="J51" s="56"/>
      <c r="K51" s="56"/>
      <c r="L51" s="56"/>
    </row>
    <row r="52" spans="1:12" x14ac:dyDescent="0.35">
      <c r="B52" s="388" t="s">
        <v>72</v>
      </c>
      <c r="C52" s="394">
        <f>+'Table U1'!K48</f>
        <v>14.493277340000001</v>
      </c>
      <c r="D52" s="39">
        <f>TableC4!C50/(C52*1000)</f>
        <v>0.13423220191698143</v>
      </c>
      <c r="E52" s="359">
        <f>+TableC4!D50/(TableC4c!$C52*1000)</f>
        <v>3.6912652801831161E-2</v>
      </c>
      <c r="F52" s="360">
        <f t="shared" si="4"/>
        <v>9.731954911515027E-2</v>
      </c>
      <c r="G52" s="39">
        <f>TableC4!N50/(C52*1000)</f>
        <v>1.2931693588219339E-2</v>
      </c>
      <c r="H52" s="359">
        <f>+TableC4!O50/(TableC4c!$C52*1000)</f>
        <v>-1.6014702162753708E-4</v>
      </c>
      <c r="I52" s="385">
        <f t="shared" si="5"/>
        <v>1.3091840609846877E-2</v>
      </c>
      <c r="J52" s="56"/>
      <c r="K52" s="56"/>
      <c r="L52" s="56"/>
    </row>
    <row r="53" spans="1:12" ht="14" customHeight="1" x14ac:dyDescent="0.35">
      <c r="B53" s="388" t="s">
        <v>73</v>
      </c>
      <c r="C53" s="394">
        <f>+'Table U1'!K49</f>
        <v>523.31609648332426</v>
      </c>
      <c r="D53" s="39">
        <f>TableC4!C51/(C53*1000)</f>
        <v>3.6424962459256582E-2</v>
      </c>
      <c r="E53" s="359">
        <f>+TableC4!D51/(TableC4c!$C53*1000)</f>
        <v>8.6119696074394396E-3</v>
      </c>
      <c r="F53" s="360">
        <f t="shared" si="4"/>
        <v>2.7812992851817143E-2</v>
      </c>
      <c r="G53" s="39">
        <f>TableC4!N51/(C53*1000)</f>
        <v>1.4050827757590255E-2</v>
      </c>
      <c r="H53" s="359">
        <f>+TableC4!O51/(TableC4c!$C53*1000)</f>
        <v>8.6598272522191906E-5</v>
      </c>
      <c r="I53" s="385">
        <f t="shared" si="5"/>
        <v>1.3964229485068062E-2</v>
      </c>
      <c r="J53" s="56"/>
      <c r="K53" s="56"/>
      <c r="L53" s="56"/>
    </row>
    <row r="54" spans="1:12" ht="14" customHeight="1" x14ac:dyDescent="0.35">
      <c r="A54" s="343" t="s">
        <v>75</v>
      </c>
      <c r="B54" s="388" t="s">
        <v>74</v>
      </c>
      <c r="C54" s="394">
        <f>+'Table U1'!K50</f>
        <v>373.17500000000001</v>
      </c>
      <c r="D54" s="39">
        <f>TableC4!C52/(C54*1000)</f>
        <v>5.4513669220234505E-2</v>
      </c>
      <c r="E54" s="359">
        <f>+TableC4!D52/(TableC4c!$C54*1000)</f>
        <v>1.6007711052231675E-2</v>
      </c>
      <c r="F54" s="360">
        <f t="shared" si="4"/>
        <v>3.8505958168002827E-2</v>
      </c>
      <c r="G54" s="39">
        <f>TableC4!N52/(C54*1000)</f>
        <v>3.1806672621753091E-3</v>
      </c>
      <c r="H54" s="359">
        <f>+TableC4!O52/(TableC4c!$C54*1000)</f>
        <v>3.024574084553222E-3</v>
      </c>
      <c r="I54" s="385">
        <f t="shared" si="5"/>
        <v>1.5609317762208712E-4</v>
      </c>
      <c r="J54" s="56"/>
      <c r="K54" s="56"/>
      <c r="L54" s="56"/>
    </row>
    <row r="55" spans="1:12" ht="14" customHeight="1" x14ac:dyDescent="0.35">
      <c r="B55" s="388" t="s">
        <v>76</v>
      </c>
      <c r="C55" s="394">
        <f>+'Table U1'!K51</f>
        <v>65.252570309999996</v>
      </c>
      <c r="D55" s="39">
        <f>TableC4!C53/(C55*1000)</f>
        <v>0.12133399035313598</v>
      </c>
      <c r="E55" s="359">
        <f>+TableC4!D53/(TableC4c!$C55*1000)</f>
        <v>2.9351237634432301E-2</v>
      </c>
      <c r="F55" s="360">
        <f t="shared" si="4"/>
        <v>9.1982752718703681E-2</v>
      </c>
      <c r="G55" s="39">
        <f>TableC4!N53/(C55*1000)</f>
        <v>0.10648398181368129</v>
      </c>
      <c r="H55" s="359">
        <f>+TableC4!O53/(TableC4c!$C55*1000)</f>
        <v>-1.1512041156230507E-2</v>
      </c>
      <c r="I55" s="385">
        <f t="shared" si="5"/>
        <v>0.1179960229699118</v>
      </c>
      <c r="J55" s="56"/>
      <c r="K55" s="56"/>
      <c r="L55" s="56"/>
    </row>
    <row r="56" spans="1:12" ht="40" hidden="1" customHeight="1" x14ac:dyDescent="0.35">
      <c r="B56" s="393" t="s">
        <v>77</v>
      </c>
      <c r="C56" s="305"/>
      <c r="D56" s="62" t="e">
        <f>TableC4!C54/(C56*1000)</f>
        <v>#DIV/0!</v>
      </c>
      <c r="E56" s="386" t="e">
        <f>+TableC4!D54/(TableC4c!$C56*1000)</f>
        <v>#DIV/0!</v>
      </c>
      <c r="F56" s="392" t="e">
        <f t="shared" si="4"/>
        <v>#DIV/0!</v>
      </c>
      <c r="G56" s="62" t="e">
        <f>TableC4!N54/(C56*1000)</f>
        <v>#DIV/0!</v>
      </c>
      <c r="H56" s="386" t="e">
        <f>+TableC4!O54/(TableC4c!$C56*1000)</f>
        <v>#DIV/0!</v>
      </c>
      <c r="I56" s="391" t="e">
        <f t="shared" si="5"/>
        <v>#DIV/0!</v>
      </c>
      <c r="J56" s="42"/>
      <c r="K56" s="42"/>
      <c r="L56" s="42"/>
    </row>
    <row r="57" spans="1:12" ht="14" hidden="1" customHeight="1" x14ac:dyDescent="0.35">
      <c r="B57" s="388" t="s">
        <v>78</v>
      </c>
      <c r="C57" s="387"/>
      <c r="D57" s="353" t="e">
        <f>TableC4!C55/(C57*1000)</f>
        <v>#DIV/0!</v>
      </c>
      <c r="E57" s="386" t="e">
        <f>+TableC4!D55/(TableC4c!$C57*1000)</f>
        <v>#DIV/0!</v>
      </c>
      <c r="F57" s="360" t="e">
        <f t="shared" si="4"/>
        <v>#DIV/0!</v>
      </c>
      <c r="G57" s="353" t="e">
        <f>TableC4!N55/(C57*1000)</f>
        <v>#DIV/0!</v>
      </c>
      <c r="H57" s="386" t="e">
        <f>+TableC4!O55/(TableC4c!$C57*1000)</f>
        <v>#DIV/0!</v>
      </c>
      <c r="I57" s="385" t="e">
        <f t="shared" si="5"/>
        <v>#DIV/0!</v>
      </c>
      <c r="J57" s="38"/>
      <c r="K57" s="38"/>
      <c r="L57" s="38"/>
    </row>
    <row r="58" spans="1:12" ht="14" hidden="1" customHeight="1" x14ac:dyDescent="0.35">
      <c r="B58" s="388" t="s">
        <v>79</v>
      </c>
      <c r="C58" s="387"/>
      <c r="D58" s="353" t="e">
        <f>TableC4!C56/(C58*1000)</f>
        <v>#DIV/0!</v>
      </c>
      <c r="E58" s="386" t="e">
        <f>+TableC4!D56/(TableC4c!$C58*1000)</f>
        <v>#DIV/0!</v>
      </c>
      <c r="F58" s="360" t="e">
        <f t="shared" si="4"/>
        <v>#DIV/0!</v>
      </c>
      <c r="G58" s="353" t="e">
        <f>TableC4!N56/(C58*1000)</f>
        <v>#DIV/0!</v>
      </c>
      <c r="H58" s="386" t="e">
        <f>+TableC4!O56/(TableC4c!$C58*1000)</f>
        <v>#DIV/0!</v>
      </c>
      <c r="I58" s="385" t="e">
        <f t="shared" si="5"/>
        <v>#DIV/0!</v>
      </c>
      <c r="J58" s="38"/>
      <c r="K58" s="38"/>
      <c r="L58" s="38"/>
    </row>
    <row r="59" spans="1:12" ht="14" hidden="1" customHeight="1" x14ac:dyDescent="0.35">
      <c r="B59" s="388" t="str">
        <f>+[3]TableA1!A56</f>
        <v>Antigua and Barbuda</v>
      </c>
      <c r="C59" s="387"/>
      <c r="D59" s="353" t="e">
        <f>TableC4!C57/(C59*1000)</f>
        <v>#DIV/0!</v>
      </c>
      <c r="E59" s="386" t="e">
        <f>+TableC4!D57/(TableC4c!$C59*1000)</f>
        <v>#DIV/0!</v>
      </c>
      <c r="F59" s="360" t="e">
        <f t="shared" si="4"/>
        <v>#DIV/0!</v>
      </c>
      <c r="G59" s="353" t="e">
        <f>TableC4!N57/(C59*1000)</f>
        <v>#DIV/0!</v>
      </c>
      <c r="H59" s="386" t="e">
        <f>+TableC4!O57/(TableC4c!$C59*1000)</f>
        <v>#DIV/0!</v>
      </c>
      <c r="I59" s="385" t="e">
        <f t="shared" si="5"/>
        <v>#DIV/0!</v>
      </c>
      <c r="J59" s="38"/>
      <c r="K59" s="38"/>
      <c r="L59" s="38"/>
    </row>
    <row r="60" spans="1:12" ht="14" hidden="1" customHeight="1" x14ac:dyDescent="0.35">
      <c r="B60" s="388" t="s">
        <v>81</v>
      </c>
      <c r="C60" s="387"/>
      <c r="D60" s="353" t="e">
        <f>TableC4!C58/(C60*1000)</f>
        <v>#DIV/0!</v>
      </c>
      <c r="E60" s="386" t="e">
        <f>+TableC4!D58/(TableC4c!$C60*1000)</f>
        <v>#DIV/0!</v>
      </c>
      <c r="F60" s="360" t="e">
        <f t="shared" si="4"/>
        <v>#DIV/0!</v>
      </c>
      <c r="G60" s="353" t="e">
        <f>TableC4!N58/(C60*1000)</f>
        <v>#DIV/0!</v>
      </c>
      <c r="H60" s="386" t="e">
        <f>+TableC4!O58/(TableC4c!$C60*1000)</f>
        <v>#DIV/0!</v>
      </c>
      <c r="I60" s="385" t="e">
        <f t="shared" si="5"/>
        <v>#DIV/0!</v>
      </c>
      <c r="J60" s="38"/>
      <c r="K60" s="38"/>
      <c r="L60" s="38"/>
    </row>
    <row r="61" spans="1:12" ht="14" hidden="1" customHeight="1" x14ac:dyDescent="0.35">
      <c r="A61" s="343" t="s">
        <v>82</v>
      </c>
      <c r="B61" s="388" t="s">
        <v>83</v>
      </c>
      <c r="C61" s="387"/>
      <c r="D61" s="353" t="e">
        <f>TableC4!C59/(C61*1000)</f>
        <v>#DIV/0!</v>
      </c>
      <c r="E61" s="386" t="e">
        <f>+TableC4!D59/(TableC4c!$C61*1000)</f>
        <v>#DIV/0!</v>
      </c>
      <c r="F61" s="360" t="e">
        <f t="shared" si="4"/>
        <v>#DIV/0!</v>
      </c>
      <c r="G61" s="353" t="e">
        <f>TableC4!N59/(C61*1000)</f>
        <v>#DIV/0!</v>
      </c>
      <c r="H61" s="386" t="e">
        <f>+TableC4!O59/(TableC4c!$C61*1000)</f>
        <v>#DIV/0!</v>
      </c>
      <c r="I61" s="385" t="e">
        <f t="shared" si="5"/>
        <v>#DIV/0!</v>
      </c>
      <c r="J61" s="38"/>
      <c r="K61" s="38"/>
      <c r="L61" s="38"/>
    </row>
    <row r="62" spans="1:12" ht="14" hidden="1" customHeight="1" x14ac:dyDescent="0.35">
      <c r="A62" s="343" t="s">
        <v>84</v>
      </c>
      <c r="B62" s="388" t="s">
        <v>85</v>
      </c>
      <c r="C62" s="387"/>
      <c r="D62" s="353" t="e">
        <f>TableC4!C60/(C62*1000)</f>
        <v>#DIV/0!</v>
      </c>
      <c r="E62" s="386" t="e">
        <f>+TableC4!D60/(TableC4c!$C62*1000)</f>
        <v>#DIV/0!</v>
      </c>
      <c r="F62" s="360" t="e">
        <f t="shared" si="4"/>
        <v>#DIV/0!</v>
      </c>
      <c r="G62" s="353" t="e">
        <f>TableC4!N60/(C62*1000)</f>
        <v>#DIV/0!</v>
      </c>
      <c r="H62" s="386" t="e">
        <f>+TableC4!O60/(TableC4c!$C62*1000)</f>
        <v>#DIV/0!</v>
      </c>
      <c r="I62" s="385" t="e">
        <f t="shared" si="5"/>
        <v>#DIV/0!</v>
      </c>
      <c r="J62" s="38"/>
      <c r="K62" s="38"/>
      <c r="L62" s="38"/>
    </row>
    <row r="63" spans="1:12" ht="14" hidden="1" customHeight="1" x14ac:dyDescent="0.35">
      <c r="B63" s="388" t="str">
        <f>+[3]TableA1!A60</f>
        <v>Barbados</v>
      </c>
      <c r="C63" s="387"/>
      <c r="D63" s="353" t="e">
        <f>TableC4!C61/(C63*1000)</f>
        <v>#DIV/0!</v>
      </c>
      <c r="E63" s="386" t="e">
        <f>+TableC4!D61/(TableC4c!$C63*1000)</f>
        <v>#DIV/0!</v>
      </c>
      <c r="F63" s="360" t="e">
        <f t="shared" si="4"/>
        <v>#DIV/0!</v>
      </c>
      <c r="G63" s="353" t="e">
        <f>TableC4!N61/(C63*1000)</f>
        <v>#DIV/0!</v>
      </c>
      <c r="H63" s="386" t="e">
        <f>+TableC4!O61/(TableC4c!$C63*1000)</f>
        <v>#DIV/0!</v>
      </c>
      <c r="I63" s="385" t="e">
        <f t="shared" si="5"/>
        <v>#DIV/0!</v>
      </c>
      <c r="J63" s="38"/>
      <c r="K63" s="38"/>
      <c r="L63" s="38"/>
    </row>
    <row r="64" spans="1:12" ht="14" hidden="1" customHeight="1" x14ac:dyDescent="0.35">
      <c r="B64" s="388" t="s">
        <v>87</v>
      </c>
      <c r="C64" s="387"/>
      <c r="D64" s="353" t="e">
        <f>TableC4!C62/(C64*1000)</f>
        <v>#DIV/0!</v>
      </c>
      <c r="E64" s="386" t="e">
        <f>+TableC4!D62/(TableC4c!$C64*1000)</f>
        <v>#DIV/0!</v>
      </c>
      <c r="F64" s="360" t="e">
        <f t="shared" si="4"/>
        <v>#DIV/0!</v>
      </c>
      <c r="G64" s="353" t="e">
        <f>TableC4!N62/(C64*1000)</f>
        <v>#DIV/0!</v>
      </c>
      <c r="H64" s="386" t="e">
        <f>+TableC4!O62/(TableC4c!$C64*1000)</f>
        <v>#DIV/0!</v>
      </c>
      <c r="I64" s="385" t="e">
        <f t="shared" si="5"/>
        <v>#DIV/0!</v>
      </c>
      <c r="J64" s="38"/>
      <c r="K64" s="38"/>
      <c r="L64" s="38"/>
    </row>
    <row r="65" spans="1:12" ht="14" hidden="1" customHeight="1" x14ac:dyDescent="0.35">
      <c r="B65" s="388" t="s">
        <v>88</v>
      </c>
      <c r="C65" s="387"/>
      <c r="D65" s="353" t="e">
        <f>TableC4!C63/(C65*1000)</f>
        <v>#DIV/0!</v>
      </c>
      <c r="E65" s="386" t="e">
        <f>+TableC4!D63/(TableC4c!$C65*1000)</f>
        <v>#DIV/0!</v>
      </c>
      <c r="F65" s="360" t="e">
        <f t="shared" si="4"/>
        <v>#DIV/0!</v>
      </c>
      <c r="G65" s="353" t="e">
        <f>TableC4!N63/(C65*1000)</f>
        <v>#DIV/0!</v>
      </c>
      <c r="H65" s="386" t="e">
        <f>+TableC4!O63/(TableC4c!$C65*1000)</f>
        <v>#DIV/0!</v>
      </c>
      <c r="I65" s="385" t="e">
        <f t="shared" si="5"/>
        <v>#DIV/0!</v>
      </c>
      <c r="J65" s="38"/>
      <c r="K65" s="38"/>
      <c r="L65" s="38"/>
    </row>
    <row r="66" spans="1:12" ht="14" hidden="1" customHeight="1" x14ac:dyDescent="0.35">
      <c r="A66" s="343" t="s">
        <v>352</v>
      </c>
      <c r="B66" s="388" t="s">
        <v>90</v>
      </c>
      <c r="C66" s="387"/>
      <c r="D66" s="353" t="e">
        <f>TableC4!C64/(C66*1000)</f>
        <v>#DIV/0!</v>
      </c>
      <c r="E66" s="386" t="e">
        <f>+TableC4!D64/(TableC4c!$C66*1000)</f>
        <v>#DIV/0!</v>
      </c>
      <c r="F66" s="360" t="e">
        <f t="shared" si="4"/>
        <v>#DIV/0!</v>
      </c>
      <c r="G66" s="353" t="e">
        <f>TableC4!N64/(C66*1000)</f>
        <v>#DIV/0!</v>
      </c>
      <c r="H66" s="386" t="e">
        <f>+TableC4!O64/(TableC4c!$C66*1000)</f>
        <v>#DIV/0!</v>
      </c>
      <c r="I66" s="385" t="e">
        <f t="shared" si="5"/>
        <v>#DIV/0!</v>
      </c>
      <c r="J66" s="38"/>
      <c r="K66" s="38"/>
      <c r="L66" s="38"/>
    </row>
    <row r="67" spans="1:12" ht="14" hidden="1" customHeight="1" x14ac:dyDescent="0.35">
      <c r="A67" s="343" t="s">
        <v>405</v>
      </c>
      <c r="B67" s="388" t="s">
        <v>329</v>
      </c>
      <c r="C67" s="387"/>
      <c r="D67" s="353" t="e">
        <f>TableC4!C65/(C67*1000)</f>
        <v>#DIV/0!</v>
      </c>
      <c r="E67" s="386" t="e">
        <f>+TableC4!D65/(TableC4c!$C67*1000)</f>
        <v>#DIV/0!</v>
      </c>
      <c r="F67" s="360" t="e">
        <f t="shared" si="4"/>
        <v>#DIV/0!</v>
      </c>
      <c r="G67" s="353" t="e">
        <f>TableC4!N65/(C67*1000)</f>
        <v>#DIV/0!</v>
      </c>
      <c r="H67" s="386" t="e">
        <f>+TableC4!O65/(TableC4c!$C67*1000)</f>
        <v>#DIV/0!</v>
      </c>
      <c r="I67" s="385" t="e">
        <f t="shared" si="5"/>
        <v>#DIV/0!</v>
      </c>
      <c r="J67" s="38"/>
      <c r="K67" s="38"/>
      <c r="L67" s="38"/>
    </row>
    <row r="68" spans="1:12" ht="14" hidden="1" customHeight="1" x14ac:dyDescent="0.35">
      <c r="B68" s="390" t="s">
        <v>93</v>
      </c>
      <c r="C68" s="389"/>
      <c r="D68" s="356" t="e">
        <f>TableC4!C66/(C68*1000)</f>
        <v>#DIV/0!</v>
      </c>
      <c r="E68" s="386" t="e">
        <f>+TableC4!D66/(TableC4c!$C68*1000)</f>
        <v>#DIV/0!</v>
      </c>
      <c r="F68" s="360" t="e">
        <f t="shared" si="4"/>
        <v>#DIV/0!</v>
      </c>
      <c r="G68" s="356" t="e">
        <f>TableC4!N66/(C68*1000)</f>
        <v>#DIV/0!</v>
      </c>
      <c r="H68" s="386" t="e">
        <f>+TableC4!O66/(TableC4c!$C68*1000)</f>
        <v>#DIV/0!</v>
      </c>
      <c r="I68" s="385" t="e">
        <f t="shared" si="5"/>
        <v>#DIV/0!</v>
      </c>
      <c r="J68" s="38"/>
      <c r="K68" s="38"/>
      <c r="L68" s="38"/>
    </row>
    <row r="69" spans="1:12" ht="14" hidden="1" customHeight="1" x14ac:dyDescent="0.35">
      <c r="B69" s="388" t="s">
        <v>95</v>
      </c>
      <c r="C69" s="387"/>
      <c r="D69" s="353" t="e">
        <f>TableC4!C67/(C69*1000)</f>
        <v>#DIV/0!</v>
      </c>
      <c r="E69" s="386" t="e">
        <f>+TableC4!D67/(TableC4c!$C69*1000)</f>
        <v>#DIV/0!</v>
      </c>
      <c r="F69" s="360" t="e">
        <f t="shared" si="4"/>
        <v>#DIV/0!</v>
      </c>
      <c r="G69" s="353" t="e">
        <f>TableC4!N67/(C69*1000)</f>
        <v>#DIV/0!</v>
      </c>
      <c r="H69" s="386" t="e">
        <f>+TableC4!O67/(TableC4c!$C69*1000)</f>
        <v>#DIV/0!</v>
      </c>
      <c r="I69" s="385" t="e">
        <f t="shared" si="5"/>
        <v>#DIV/0!</v>
      </c>
      <c r="J69" s="38"/>
      <c r="K69" s="38"/>
      <c r="L69" s="38"/>
    </row>
    <row r="70" spans="1:12" ht="14" hidden="1" customHeight="1" x14ac:dyDescent="0.35">
      <c r="B70" s="388" t="str">
        <f>+[3]TableA1!A67</f>
        <v>Cyprus</v>
      </c>
      <c r="C70" s="387"/>
      <c r="D70" s="353" t="e">
        <f>TableC4!C68/(C70*1000)</f>
        <v>#DIV/0!</v>
      </c>
      <c r="E70" s="386" t="e">
        <f>+TableC4!D68/(TableC4c!$C70*1000)</f>
        <v>#DIV/0!</v>
      </c>
      <c r="F70" s="360" t="e">
        <f t="shared" si="4"/>
        <v>#DIV/0!</v>
      </c>
      <c r="G70" s="353" t="e">
        <f>TableC4!N68/(C70*1000)</f>
        <v>#DIV/0!</v>
      </c>
      <c r="H70" s="386" t="e">
        <f>+TableC4!O68/(TableC4c!$C70*1000)</f>
        <v>#DIV/0!</v>
      </c>
      <c r="I70" s="385" t="e">
        <f t="shared" si="5"/>
        <v>#DIV/0!</v>
      </c>
      <c r="J70" s="38"/>
      <c r="K70" s="38"/>
      <c r="L70" s="38"/>
    </row>
    <row r="71" spans="1:12" ht="14" hidden="1" customHeight="1" x14ac:dyDescent="0.35">
      <c r="B71" s="388" t="s">
        <v>97</v>
      </c>
      <c r="C71" s="387"/>
      <c r="D71" s="353" t="e">
        <f>TableC4!C69/(C71*1000)</f>
        <v>#DIV/0!</v>
      </c>
      <c r="E71" s="386" t="e">
        <f>+TableC4!D69/(TableC4c!$C71*1000)</f>
        <v>#DIV/0!</v>
      </c>
      <c r="F71" s="360" t="e">
        <f t="shared" si="4"/>
        <v>#DIV/0!</v>
      </c>
      <c r="G71" s="353" t="e">
        <f>TableC4!N69/(C71*1000)</f>
        <v>#DIV/0!</v>
      </c>
      <c r="H71" s="386" t="e">
        <f>+TableC4!O69/(TableC4c!$C71*1000)</f>
        <v>#DIV/0!</v>
      </c>
      <c r="I71" s="385" t="e">
        <f t="shared" si="5"/>
        <v>#DIV/0!</v>
      </c>
      <c r="J71" s="38"/>
      <c r="K71" s="38"/>
      <c r="L71" s="38"/>
    </row>
    <row r="72" spans="1:12" ht="14" hidden="1" customHeight="1" x14ac:dyDescent="0.35">
      <c r="B72" s="388" t="str">
        <f>+[3]TableA1!A69</f>
        <v>Grenada</v>
      </c>
      <c r="C72" s="387"/>
      <c r="D72" s="353" t="e">
        <f>TableC4!C70/(C72*1000)</f>
        <v>#DIV/0!</v>
      </c>
      <c r="E72" s="386" t="e">
        <f>+TableC4!D70/(TableC4c!$C72*1000)</f>
        <v>#DIV/0!</v>
      </c>
      <c r="F72" s="360" t="e">
        <f t="shared" si="4"/>
        <v>#DIV/0!</v>
      </c>
      <c r="G72" s="353" t="e">
        <f>TableC4!N70/(C72*1000)</f>
        <v>#DIV/0!</v>
      </c>
      <c r="H72" s="386" t="e">
        <f>+TableC4!O70/(TableC4c!$C72*1000)</f>
        <v>#DIV/0!</v>
      </c>
      <c r="I72" s="385" t="e">
        <f t="shared" si="5"/>
        <v>#DIV/0!</v>
      </c>
      <c r="J72" s="38"/>
      <c r="K72" s="38"/>
      <c r="L72" s="38"/>
    </row>
    <row r="73" spans="1:12" ht="14" hidden="1" customHeight="1" x14ac:dyDescent="0.35">
      <c r="B73" s="388" t="s">
        <v>99</v>
      </c>
      <c r="C73" s="387"/>
      <c r="D73" s="353" t="e">
        <f>TableC4!C71/(C73*1000)</f>
        <v>#DIV/0!</v>
      </c>
      <c r="E73" s="386" t="e">
        <f>+TableC4!D71/(TableC4c!$C73*1000)</f>
        <v>#DIV/0!</v>
      </c>
      <c r="F73" s="360" t="e">
        <f t="shared" si="4"/>
        <v>#DIV/0!</v>
      </c>
      <c r="G73" s="353" t="e">
        <f>TableC4!N71/(C73*1000)</f>
        <v>#DIV/0!</v>
      </c>
      <c r="H73" s="386" t="e">
        <f>+TableC4!O71/(TableC4c!$C73*1000)</f>
        <v>#DIV/0!</v>
      </c>
      <c r="I73" s="385" t="e">
        <f t="shared" si="5"/>
        <v>#DIV/0!</v>
      </c>
      <c r="J73" s="38"/>
      <c r="K73" s="38"/>
      <c r="L73" s="38"/>
    </row>
    <row r="74" spans="1:12" ht="14" hidden="1" customHeight="1" x14ac:dyDescent="0.35">
      <c r="A74" s="343" t="s">
        <v>100</v>
      </c>
      <c r="B74" s="388" t="s">
        <v>332</v>
      </c>
      <c r="C74" s="387"/>
      <c r="D74" s="353" t="e">
        <f>TableC4!C72/(C74*1000)</f>
        <v>#DIV/0!</v>
      </c>
      <c r="E74" s="386" t="e">
        <f>+TableC4!D72/(TableC4c!$C74*1000)</f>
        <v>#DIV/0!</v>
      </c>
      <c r="F74" s="360" t="e">
        <f t="shared" si="4"/>
        <v>#DIV/0!</v>
      </c>
      <c r="G74" s="353" t="e">
        <f>TableC4!N72/(C74*1000)</f>
        <v>#DIV/0!</v>
      </c>
      <c r="H74" s="386" t="e">
        <f>+TableC4!O72/(TableC4c!$C74*1000)</f>
        <v>#DIV/0!</v>
      </c>
      <c r="I74" s="385" t="e">
        <f t="shared" si="5"/>
        <v>#DIV/0!</v>
      </c>
      <c r="J74" s="38"/>
      <c r="K74" s="38"/>
      <c r="L74" s="310"/>
    </row>
    <row r="75" spans="1:12" ht="14" hidden="1" customHeight="1" x14ac:dyDescent="0.35">
      <c r="A75" s="343" t="s">
        <v>102</v>
      </c>
      <c r="B75" s="388" t="s">
        <v>328</v>
      </c>
      <c r="C75" s="387"/>
      <c r="D75" s="353" t="e">
        <f>TableC4!C73/(C75*1000)</f>
        <v>#DIV/0!</v>
      </c>
      <c r="E75" s="386" t="e">
        <f>+TableC4!D73/(TableC4c!$C75*1000)</f>
        <v>#DIV/0!</v>
      </c>
      <c r="F75" s="360" t="e">
        <f t="shared" si="4"/>
        <v>#DIV/0!</v>
      </c>
      <c r="G75" s="353" t="e">
        <f>TableC4!N73/(C75*1000)</f>
        <v>#DIV/0!</v>
      </c>
      <c r="H75" s="386" t="e">
        <f>+TableC4!O73/(TableC4c!$C75*1000)</f>
        <v>#DIV/0!</v>
      </c>
      <c r="I75" s="385" t="e">
        <f t="shared" si="5"/>
        <v>#DIV/0!</v>
      </c>
      <c r="J75" s="38"/>
      <c r="K75" s="38"/>
      <c r="L75" s="310"/>
    </row>
    <row r="76" spans="1:12" ht="14" hidden="1" customHeight="1" x14ac:dyDescent="0.35">
      <c r="B76" s="388" t="s">
        <v>103</v>
      </c>
      <c r="C76" s="387"/>
      <c r="D76" s="353" t="e">
        <f>TableC4!C74/(C76*1000)</f>
        <v>#DIV/0!</v>
      </c>
      <c r="E76" s="386" t="e">
        <f>+TableC4!D74/(TableC4c!$C76*1000)</f>
        <v>#DIV/0!</v>
      </c>
      <c r="F76" s="360" t="e">
        <f t="shared" si="4"/>
        <v>#DIV/0!</v>
      </c>
      <c r="G76" s="353" t="e">
        <f>TableC4!N74/(C76*1000)</f>
        <v>#DIV/0!</v>
      </c>
      <c r="H76" s="386" t="e">
        <f>+TableC4!O74/(TableC4c!$C76*1000)</f>
        <v>#DIV/0!</v>
      </c>
      <c r="I76" s="385" t="e">
        <f t="shared" si="5"/>
        <v>#DIV/0!</v>
      </c>
      <c r="J76" s="38"/>
      <c r="K76" s="38"/>
      <c r="L76" s="310"/>
    </row>
    <row r="77" spans="1:12" ht="14" hidden="1" customHeight="1" x14ac:dyDescent="0.35">
      <c r="B77" s="388" t="s">
        <v>104</v>
      </c>
      <c r="C77" s="387"/>
      <c r="D77" s="353" t="e">
        <f>TableC4!C75/(C77*1000)</f>
        <v>#DIV/0!</v>
      </c>
      <c r="E77" s="386" t="e">
        <f>+TableC4!D75/(TableC4c!$C77*1000)</f>
        <v>#DIV/0!</v>
      </c>
      <c r="F77" s="360" t="e">
        <f t="shared" ref="F77:F95" si="6">+D77-E77</f>
        <v>#DIV/0!</v>
      </c>
      <c r="G77" s="353" t="e">
        <f>TableC4!N75/(C77*1000)</f>
        <v>#DIV/0!</v>
      </c>
      <c r="H77" s="386" t="e">
        <f>+TableC4!O75/(TableC4c!$C77*1000)</f>
        <v>#DIV/0!</v>
      </c>
      <c r="I77" s="385" t="e">
        <f t="shared" ref="I77:I95" si="7">+G77-H77</f>
        <v>#DIV/0!</v>
      </c>
      <c r="J77" s="38"/>
      <c r="K77" s="38"/>
      <c r="L77" s="310"/>
    </row>
    <row r="78" spans="1:12" ht="14" hidden="1" customHeight="1" x14ac:dyDescent="0.35">
      <c r="B78" s="388" t="s">
        <v>105</v>
      </c>
      <c r="C78" s="387"/>
      <c r="D78" s="353" t="e">
        <f>TableC4!C76/(C78*1000)</f>
        <v>#DIV/0!</v>
      </c>
      <c r="E78" s="386" t="e">
        <f>+TableC4!D76/(TableC4c!$C78*1000)</f>
        <v>#DIV/0!</v>
      </c>
      <c r="F78" s="360" t="e">
        <f t="shared" si="6"/>
        <v>#DIV/0!</v>
      </c>
      <c r="G78" s="353" t="e">
        <f>TableC4!N76/(C78*1000)</f>
        <v>#DIV/0!</v>
      </c>
      <c r="H78" s="386" t="e">
        <f>+TableC4!O76/(TableC4c!$C78*1000)</f>
        <v>#DIV/0!</v>
      </c>
      <c r="I78" s="385" t="e">
        <f t="shared" si="7"/>
        <v>#DIV/0!</v>
      </c>
      <c r="J78" s="38"/>
      <c r="K78" s="38"/>
      <c r="L78" s="310"/>
    </row>
    <row r="79" spans="1:12" ht="14" hidden="1" customHeight="1" x14ac:dyDescent="0.35">
      <c r="A79" s="343" t="s">
        <v>106</v>
      </c>
      <c r="B79" s="388" t="s">
        <v>108</v>
      </c>
      <c r="C79" s="387"/>
      <c r="D79" s="353" t="e">
        <f>TableC4!C77/(C79*1000)</f>
        <v>#DIV/0!</v>
      </c>
      <c r="E79" s="386" t="e">
        <f>+TableC4!D77/(TableC4c!$C79*1000)</f>
        <v>#DIV/0!</v>
      </c>
      <c r="F79" s="360" t="e">
        <f t="shared" si="6"/>
        <v>#DIV/0!</v>
      </c>
      <c r="G79" s="353" t="e">
        <f>TableC4!N77/(C79*1000)</f>
        <v>#DIV/0!</v>
      </c>
      <c r="H79" s="386" t="e">
        <f>+TableC4!O77/(TableC4c!$C79*1000)</f>
        <v>#DIV/0!</v>
      </c>
      <c r="I79" s="385" t="e">
        <f t="shared" si="7"/>
        <v>#DIV/0!</v>
      </c>
      <c r="J79" s="38"/>
      <c r="K79" s="38"/>
      <c r="L79" s="310"/>
    </row>
    <row r="80" spans="1:12" ht="14" hidden="1" customHeight="1" x14ac:dyDescent="0.35">
      <c r="B80" s="388" t="s">
        <v>109</v>
      </c>
      <c r="C80" s="387"/>
      <c r="D80" s="353" t="e">
        <f>TableC4!C78/(C80*1000)</f>
        <v>#DIV/0!</v>
      </c>
      <c r="E80" s="386" t="e">
        <f>+TableC4!D78/(TableC4c!$C80*1000)</f>
        <v>#DIV/0!</v>
      </c>
      <c r="F80" s="360" t="e">
        <f t="shared" si="6"/>
        <v>#DIV/0!</v>
      </c>
      <c r="G80" s="353" t="e">
        <f>TableC4!N78/(C80*1000)</f>
        <v>#DIV/0!</v>
      </c>
      <c r="H80" s="386" t="e">
        <f>+TableC4!O78/(TableC4c!$C80*1000)</f>
        <v>#DIV/0!</v>
      </c>
      <c r="I80" s="385" t="e">
        <f t="shared" si="7"/>
        <v>#DIV/0!</v>
      </c>
      <c r="J80" s="38"/>
      <c r="K80" s="38"/>
      <c r="L80" s="38"/>
    </row>
    <row r="81" spans="1:12" ht="14" hidden="1" customHeight="1" x14ac:dyDescent="0.35">
      <c r="A81" s="343" t="s">
        <v>111</v>
      </c>
      <c r="B81" s="388" t="s">
        <v>110</v>
      </c>
      <c r="C81" s="387"/>
      <c r="D81" s="353" t="e">
        <f>TableC4!C79/(C81*1000)</f>
        <v>#DIV/0!</v>
      </c>
      <c r="E81" s="386" t="e">
        <f>+TableC4!D79/(TableC4c!$C81*1000)</f>
        <v>#DIV/0!</v>
      </c>
      <c r="F81" s="360" t="e">
        <f t="shared" si="6"/>
        <v>#DIV/0!</v>
      </c>
      <c r="G81" s="353" t="e">
        <f>TableC4!N79/(C81*1000)</f>
        <v>#DIV/0!</v>
      </c>
      <c r="H81" s="386" t="e">
        <f>+TableC4!O79/(TableC4c!$C81*1000)</f>
        <v>#DIV/0!</v>
      </c>
      <c r="I81" s="385" t="e">
        <f t="shared" si="7"/>
        <v>#DIV/0!</v>
      </c>
      <c r="J81" s="38"/>
      <c r="K81" s="38"/>
      <c r="L81" s="38"/>
    </row>
    <row r="82" spans="1:12" ht="14" hidden="1" customHeight="1" x14ac:dyDescent="0.35">
      <c r="B82" s="388" t="str">
        <f>+[3]TableA1!A79</f>
        <v>Monaco</v>
      </c>
      <c r="C82" s="387"/>
      <c r="D82" s="353" t="e">
        <f>TableC4!C80/(C82*1000)</f>
        <v>#DIV/0!</v>
      </c>
      <c r="E82" s="386" t="e">
        <f>+TableC4!D80/(TableC4c!$C82*1000)</f>
        <v>#DIV/0!</v>
      </c>
      <c r="F82" s="360" t="e">
        <f t="shared" si="6"/>
        <v>#DIV/0!</v>
      </c>
      <c r="G82" s="353" t="e">
        <f>TableC4!N80/(C82*1000)</f>
        <v>#DIV/0!</v>
      </c>
      <c r="H82" s="386" t="e">
        <f>+TableC4!O80/(TableC4c!$C82*1000)</f>
        <v>#DIV/0!</v>
      </c>
      <c r="I82" s="385" t="e">
        <f t="shared" si="7"/>
        <v>#DIV/0!</v>
      </c>
      <c r="J82" s="38"/>
      <c r="K82" s="38"/>
      <c r="L82" s="38"/>
    </row>
    <row r="83" spans="1:12" ht="14" hidden="1" customHeight="1" x14ac:dyDescent="0.35">
      <c r="B83" s="388" t="s">
        <v>113</v>
      </c>
      <c r="C83" s="387"/>
      <c r="D83" s="353" t="e">
        <f>TableC4!C81/(C83*1000)</f>
        <v>#DIV/0!</v>
      </c>
      <c r="E83" s="386" t="e">
        <f>+TableC4!D81/(TableC4c!$C83*1000)</f>
        <v>#DIV/0!</v>
      </c>
      <c r="F83" s="360" t="e">
        <f t="shared" si="6"/>
        <v>#DIV/0!</v>
      </c>
      <c r="G83" s="353" t="e">
        <f>TableC4!N81/(C83*1000)</f>
        <v>#DIV/0!</v>
      </c>
      <c r="H83" s="386" t="e">
        <f>+TableC4!O81/(TableC4c!$C83*1000)</f>
        <v>#DIV/0!</v>
      </c>
      <c r="I83" s="385" t="e">
        <f t="shared" si="7"/>
        <v>#DIV/0!</v>
      </c>
      <c r="J83" s="38"/>
      <c r="K83" s="38"/>
      <c r="L83" s="38"/>
    </row>
    <row r="84" spans="1:12" ht="14" hidden="1" customHeight="1" x14ac:dyDescent="0.35">
      <c r="B84" s="388" t="s">
        <v>114</v>
      </c>
      <c r="C84" s="387"/>
      <c r="D84" s="353" t="e">
        <f>TableC4!C82/(C84*1000)</f>
        <v>#DIV/0!</v>
      </c>
      <c r="E84" s="386" t="e">
        <f>+TableC4!D82/(TableC4c!$C84*1000)</f>
        <v>#DIV/0!</v>
      </c>
      <c r="F84" s="360" t="e">
        <f t="shared" si="6"/>
        <v>#DIV/0!</v>
      </c>
      <c r="G84" s="353" t="e">
        <f>TableC4!N82/(C84*1000)</f>
        <v>#DIV/0!</v>
      </c>
      <c r="H84" s="386" t="e">
        <f>+TableC4!O82/(TableC4c!$C84*1000)</f>
        <v>#DIV/0!</v>
      </c>
      <c r="I84" s="385" t="e">
        <f t="shared" si="7"/>
        <v>#DIV/0!</v>
      </c>
      <c r="J84" s="38"/>
      <c r="K84" s="38"/>
      <c r="L84" s="38"/>
    </row>
    <row r="85" spans="1:12" ht="14" hidden="1" customHeight="1" x14ac:dyDescent="0.35">
      <c r="B85" s="388" t="str">
        <f>+[3]TableA1!A82</f>
        <v>Seychelles</v>
      </c>
      <c r="C85" s="387"/>
      <c r="D85" s="353" t="e">
        <f>TableC4!C83/(C85*1000)</f>
        <v>#DIV/0!</v>
      </c>
      <c r="E85" s="386" t="e">
        <f>+TableC4!D83/(TableC4c!$C85*1000)</f>
        <v>#DIV/0!</v>
      </c>
      <c r="F85" s="360" t="e">
        <f t="shared" si="6"/>
        <v>#DIV/0!</v>
      </c>
      <c r="G85" s="353" t="e">
        <f>TableC4!N83/(C85*1000)</f>
        <v>#DIV/0!</v>
      </c>
      <c r="H85" s="386" t="e">
        <f>+TableC4!O83/(TableC4c!$C85*1000)</f>
        <v>#DIV/0!</v>
      </c>
      <c r="I85" s="385" t="e">
        <f t="shared" si="7"/>
        <v>#DIV/0!</v>
      </c>
      <c r="J85" s="38"/>
      <c r="K85" s="38"/>
      <c r="L85" s="38"/>
    </row>
    <row r="86" spans="1:12" hidden="1" x14ac:dyDescent="0.35">
      <c r="B86" s="388" t="s">
        <v>116</v>
      </c>
      <c r="C86" s="387"/>
      <c r="D86" s="353" t="e">
        <f>TableC4!C84/(C86*1000)</f>
        <v>#DIV/0!</v>
      </c>
      <c r="E86" s="386" t="e">
        <f>+TableC4!D84/(TableC4c!$C86*1000)</f>
        <v>#DIV/0!</v>
      </c>
      <c r="F86" s="360" t="e">
        <f t="shared" si="6"/>
        <v>#DIV/0!</v>
      </c>
      <c r="G86" s="353" t="e">
        <f>TableC4!N84/(C86*1000)</f>
        <v>#DIV/0!</v>
      </c>
      <c r="H86" s="386" t="e">
        <f>+TableC4!O84/(TableC4c!$C86*1000)</f>
        <v>#DIV/0!</v>
      </c>
      <c r="I86" s="385" t="e">
        <f t="shared" si="7"/>
        <v>#DIV/0!</v>
      </c>
      <c r="J86" s="38"/>
      <c r="K86" s="38"/>
      <c r="L86" s="38"/>
    </row>
    <row r="87" spans="1:12" hidden="1" x14ac:dyDescent="0.35">
      <c r="B87" s="388" t="str">
        <f>+[3]TableA1!A84</f>
        <v>St. Kitts and Nevis</v>
      </c>
      <c r="C87" s="387"/>
      <c r="D87" s="353" t="e">
        <f>TableC4!C85/(C87*1000)</f>
        <v>#DIV/0!</v>
      </c>
      <c r="E87" s="386" t="e">
        <f>+TableC4!D85/(TableC4c!$C87*1000)</f>
        <v>#DIV/0!</v>
      </c>
      <c r="F87" s="360" t="e">
        <f t="shared" si="6"/>
        <v>#DIV/0!</v>
      </c>
      <c r="G87" s="353" t="e">
        <f>TableC4!N85/(C87*1000)</f>
        <v>#DIV/0!</v>
      </c>
      <c r="H87" s="386" t="e">
        <f>+TableC4!O85/(TableC4c!$C87*1000)</f>
        <v>#DIV/0!</v>
      </c>
      <c r="I87" s="385" t="e">
        <f t="shared" si="7"/>
        <v>#DIV/0!</v>
      </c>
      <c r="J87" s="38"/>
      <c r="K87" s="38"/>
      <c r="L87" s="38"/>
    </row>
    <row r="88" spans="1:12" hidden="1" x14ac:dyDescent="0.35">
      <c r="B88" s="388" t="str">
        <f>+[3]TableA1!A85</f>
        <v>St. Lucia</v>
      </c>
      <c r="C88" s="387"/>
      <c r="D88" s="353" t="e">
        <f>TableC4!C86/(C88*1000)</f>
        <v>#DIV/0!</v>
      </c>
      <c r="E88" s="386" t="e">
        <f>+TableC4!D86/(TableC4c!$C88*1000)</f>
        <v>#DIV/0!</v>
      </c>
      <c r="F88" s="360" t="e">
        <f t="shared" si="6"/>
        <v>#DIV/0!</v>
      </c>
      <c r="G88" s="353" t="e">
        <f>TableC4!N86/(C88*1000)</f>
        <v>#DIV/0!</v>
      </c>
      <c r="H88" s="386" t="e">
        <f>+TableC4!O86/(TableC4c!$C88*1000)</f>
        <v>#DIV/0!</v>
      </c>
      <c r="I88" s="385" t="e">
        <f t="shared" si="7"/>
        <v>#DIV/0!</v>
      </c>
      <c r="J88" s="38"/>
      <c r="K88" s="38"/>
      <c r="L88" s="38"/>
    </row>
    <row r="89" spans="1:12" hidden="1" x14ac:dyDescent="0.35">
      <c r="B89" s="388" t="str">
        <f>+[3]TableA1!A86</f>
        <v>St. Vincent and the Grenadines</v>
      </c>
      <c r="C89" s="387"/>
      <c r="D89" s="353" t="e">
        <f>TableC4!C87/(C89*1000)</f>
        <v>#DIV/0!</v>
      </c>
      <c r="E89" s="386" t="e">
        <f>+TableC4!D87/(TableC4c!$C89*1000)</f>
        <v>#DIV/0!</v>
      </c>
      <c r="F89" s="360" t="e">
        <f t="shared" si="6"/>
        <v>#DIV/0!</v>
      </c>
      <c r="G89" s="353" t="e">
        <f>TableC4!N87/(C89*1000)</f>
        <v>#DIV/0!</v>
      </c>
      <c r="H89" s="386" t="e">
        <f>+TableC4!O87/(TableC4c!$C89*1000)</f>
        <v>#DIV/0!</v>
      </c>
      <c r="I89" s="385" t="e">
        <f t="shared" si="7"/>
        <v>#DIV/0!</v>
      </c>
      <c r="J89" s="38"/>
      <c r="K89" s="38"/>
      <c r="L89" s="38"/>
    </row>
    <row r="90" spans="1:12" ht="23" hidden="1" x14ac:dyDescent="0.35">
      <c r="A90" s="343" t="s">
        <v>353</v>
      </c>
      <c r="B90" s="388" t="str">
        <f>+[3]TableA1!A87</f>
        <v>Turks and Caicos</v>
      </c>
      <c r="C90" s="387"/>
      <c r="D90" s="353" t="e">
        <f>TableC4!C88/(C90*1000)</f>
        <v>#DIV/0!</v>
      </c>
      <c r="E90" s="386" t="e">
        <f>+TableC4!D88/(TableC4c!$C90*1000)</f>
        <v>#DIV/0!</v>
      </c>
      <c r="F90" s="360" t="e">
        <f t="shared" si="6"/>
        <v>#DIV/0!</v>
      </c>
      <c r="G90" s="353" t="e">
        <f>TableC4!N88/(C90*1000)</f>
        <v>#DIV/0!</v>
      </c>
      <c r="H90" s="386" t="e">
        <f>+TableC4!O88/(TableC4c!$C90*1000)</f>
        <v>#DIV/0!</v>
      </c>
      <c r="I90" s="385" t="e">
        <f t="shared" si="7"/>
        <v>#DIV/0!</v>
      </c>
      <c r="J90" s="38"/>
      <c r="K90" s="38"/>
      <c r="L90" s="38"/>
    </row>
    <row r="91" spans="1:12" hidden="1" x14ac:dyDescent="0.35">
      <c r="B91" s="388" t="str">
        <f>+[3]TableA1!A88</f>
        <v>Panama</v>
      </c>
      <c r="C91" s="387"/>
      <c r="D91" s="353" t="e">
        <f>TableC4!C89/(C91*1000)</f>
        <v>#DIV/0!</v>
      </c>
      <c r="E91" s="386" t="e">
        <f>+TableC4!D89/(TableC4c!$C91*1000)</f>
        <v>#DIV/0!</v>
      </c>
      <c r="F91" s="360" t="e">
        <f t="shared" si="6"/>
        <v>#DIV/0!</v>
      </c>
      <c r="G91" s="353" t="e">
        <f>TableC4!N89/(C91*1000)</f>
        <v>#DIV/0!</v>
      </c>
      <c r="H91" s="386" t="e">
        <f>+TableC4!O89/(TableC4c!$C91*1000)</f>
        <v>#DIV/0!</v>
      </c>
      <c r="I91" s="385" t="e">
        <f t="shared" si="7"/>
        <v>#DIV/0!</v>
      </c>
      <c r="J91" s="38"/>
      <c r="K91" s="38"/>
      <c r="L91" s="38"/>
    </row>
    <row r="92" spans="1:12" hidden="1" x14ac:dyDescent="0.35">
      <c r="B92" s="388" t="s">
        <v>122</v>
      </c>
      <c r="C92" s="387"/>
      <c r="D92" s="353" t="e">
        <f>TableC4!C90/(C92*1000)</f>
        <v>#DIV/0!</v>
      </c>
      <c r="E92" s="386" t="e">
        <f>+TableC4!D90/(TableC4c!$C92*1000)</f>
        <v>#DIV/0!</v>
      </c>
      <c r="F92" s="360" t="e">
        <f t="shared" si="6"/>
        <v>#DIV/0!</v>
      </c>
      <c r="G92" s="353" t="e">
        <f>TableC4!N90/(C92*1000)</f>
        <v>#DIV/0!</v>
      </c>
      <c r="H92" s="386" t="e">
        <f>+TableC4!O90/(TableC4c!$C92*1000)</f>
        <v>#DIV/0!</v>
      </c>
      <c r="I92" s="385" t="e">
        <f t="shared" si="7"/>
        <v>#DIV/0!</v>
      </c>
      <c r="J92" s="38"/>
      <c r="K92" s="38"/>
      <c r="L92" s="38"/>
    </row>
    <row r="93" spans="1:12" ht="40" customHeight="1" x14ac:dyDescent="0.35">
      <c r="B93" s="384" t="s">
        <v>327</v>
      </c>
      <c r="C93" s="383">
        <f>+'Table U1'!$K$89</f>
        <v>2321.3172801625828</v>
      </c>
      <c r="D93" s="352">
        <f>TableC4!C100/(C93*1000)</f>
        <v>7.3339576808395618E-2</v>
      </c>
      <c r="E93" s="59">
        <f>+TableC4!D100/(TableC4c!$C93*1000)</f>
        <v>2.1526935040448801E-2</v>
      </c>
      <c r="F93" s="36">
        <f t="shared" si="6"/>
        <v>5.1812641767946817E-2</v>
      </c>
      <c r="G93" s="352">
        <f>TableC4!N100/(C93*1000)</f>
        <v>1.3494662184348047E-2</v>
      </c>
      <c r="H93" s="59">
        <f>+TableC4!O100/(TableC4c!$C93*1000)</f>
        <v>1.6804097469557985E-3</v>
      </c>
      <c r="I93" s="382">
        <f t="shared" si="7"/>
        <v>1.1814252437392248E-2</v>
      </c>
      <c r="J93" s="42"/>
      <c r="K93" s="42"/>
      <c r="L93" s="42"/>
    </row>
    <row r="94" spans="1:12" ht="40" hidden="1" customHeight="1" x14ac:dyDescent="0.35">
      <c r="B94" s="381"/>
      <c r="C94" s="272"/>
      <c r="D94" s="43" t="e">
        <f>TableC4!C101/(C94*1000)</f>
        <v>#DIV/0!</v>
      </c>
      <c r="E94" s="42" t="e">
        <f>+TableC4!D101/(TableC4c!$C94*1000)</f>
        <v>#DIV/0!</v>
      </c>
      <c r="F94" s="42" t="e">
        <f t="shared" si="6"/>
        <v>#DIV/0!</v>
      </c>
      <c r="G94" s="43" t="e">
        <f>TableC4!N101/(C94*1000)</f>
        <v>#DIV/0!</v>
      </c>
      <c r="H94" s="42" t="e">
        <f>+TableC4!O101/(TableC4c!$C94*1000)</f>
        <v>#DIV/0!</v>
      </c>
      <c r="I94" s="380" t="e">
        <f t="shared" si="7"/>
        <v>#DIV/0!</v>
      </c>
      <c r="J94" s="42"/>
      <c r="K94" s="42"/>
      <c r="L94" s="42"/>
    </row>
    <row r="95" spans="1:12" ht="40" customHeight="1" thickBot="1" x14ac:dyDescent="0.4">
      <c r="B95" s="379" t="str">
        <f>+TableC3!B91</f>
        <v>Non-haven total</v>
      </c>
      <c r="C95" s="378">
        <f>+C93+C12+C48</f>
        <v>12811.648847036156</v>
      </c>
      <c r="D95" s="377">
        <f>TableC4!C102/(C95*1000)</f>
        <v>7.5651366360255587E-2</v>
      </c>
      <c r="E95" s="376">
        <f>+TableC4!D102/(TableC4c!$C95*1000)</f>
        <v>3.3320293235635234E-2</v>
      </c>
      <c r="F95" s="376">
        <f t="shared" si="6"/>
        <v>4.2331073124620353E-2</v>
      </c>
      <c r="G95" s="377">
        <f>TableC4!N102/(C95*1000)</f>
        <v>7.5651366360255587E-2</v>
      </c>
      <c r="H95" s="376">
        <f>+TableC4!O102/(TableC4c!$C95*1000)</f>
        <v>4.0535874460995089E-2</v>
      </c>
      <c r="I95" s="375">
        <f t="shared" si="7"/>
        <v>3.5115491899260498E-2</v>
      </c>
      <c r="J95" s="53"/>
      <c r="K95" s="53"/>
      <c r="L95" s="53"/>
    </row>
    <row r="96" spans="1:12" s="257" customFormat="1" x14ac:dyDescent="0.35">
      <c r="E96" s="253"/>
      <c r="F96" s="253"/>
      <c r="H96" s="253"/>
      <c r="I96" s="253"/>
      <c r="J96" s="253"/>
      <c r="K96" s="253"/>
      <c r="L96" s="253"/>
    </row>
    <row r="98" spans="2:12" s="257" customFormat="1" x14ac:dyDescent="0.35">
      <c r="B98" s="253"/>
      <c r="C98" s="253"/>
      <c r="D98" s="253"/>
      <c r="E98" s="253"/>
      <c r="F98" s="253"/>
      <c r="G98" s="253"/>
      <c r="H98" s="253"/>
      <c r="I98" s="253"/>
      <c r="J98" s="253"/>
      <c r="K98" s="253"/>
      <c r="L98" s="253"/>
    </row>
  </sheetData>
  <mergeCells count="7">
    <mergeCell ref="G9:I9"/>
    <mergeCell ref="B5:I5"/>
    <mergeCell ref="D8:I8"/>
    <mergeCell ref="D10:D11"/>
    <mergeCell ref="G10:G11"/>
    <mergeCell ref="D9:F9"/>
    <mergeCell ref="C8:C11"/>
  </mergeCells>
  <pageMargins left="0.7" right="0.7" top="0.75" bottom="0.75" header="0.3" footer="0.3"/>
  <pageSetup scale="72"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39997558519241921"/>
    <pageSetUpPr fitToPage="1"/>
  </sheetPr>
  <dimension ref="A2:V103"/>
  <sheetViews>
    <sheetView workbookViewId="0">
      <pane xSplit="2" ySplit="9" topLeftCell="C23" activePane="bottomRight" state="frozen"/>
      <selection activeCell="G29" sqref="G29"/>
      <selection pane="topRight" activeCell="G29" sqref="G29"/>
      <selection pane="bottomLeft" activeCell="G29" sqref="G29"/>
      <selection pane="bottomRight" activeCell="C30" sqref="C30"/>
    </sheetView>
  </sheetViews>
  <sheetFormatPr defaultColWidth="10.81640625" defaultRowHeight="15.5" x14ac:dyDescent="0.35"/>
  <cols>
    <col min="1" max="1" width="17.453125" style="253" hidden="1" customWidth="1"/>
    <col min="2" max="2" width="19" style="253" customWidth="1"/>
    <col min="3" max="16" width="11.81640625" style="253" customWidth="1"/>
    <col min="17" max="22" width="19.6328125" style="253" customWidth="1"/>
    <col min="23" max="16384" width="10.81640625" style="253"/>
  </cols>
  <sheetData>
    <row r="2" spans="2:22" ht="16" thickBot="1" x14ac:dyDescent="0.4"/>
    <row r="3" spans="2:22" ht="15.75" hidden="1" customHeight="1" thickBot="1" x14ac:dyDescent="0.4"/>
    <row r="4" spans="2:22" ht="32" customHeight="1" thickTop="1" x14ac:dyDescent="0.35">
      <c r="B4" s="618" t="s">
        <v>425</v>
      </c>
      <c r="C4" s="619"/>
      <c r="D4" s="619"/>
      <c r="E4" s="619"/>
      <c r="F4" s="619"/>
      <c r="G4" s="619"/>
      <c r="H4" s="619"/>
      <c r="I4" s="619"/>
      <c r="J4" s="619"/>
      <c r="K4" s="619"/>
      <c r="L4" s="619"/>
      <c r="M4" s="619"/>
      <c r="N4" s="619"/>
      <c r="O4" s="619"/>
      <c r="P4" s="620"/>
      <c r="Q4" s="373"/>
      <c r="R4" s="373"/>
      <c r="S4" s="373"/>
      <c r="T4" s="373"/>
      <c r="U4" s="373"/>
      <c r="V4" s="373"/>
    </row>
    <row r="5" spans="2:22" ht="20" x14ac:dyDescent="0.35">
      <c r="B5" s="333"/>
      <c r="C5" s="4" t="s">
        <v>1</v>
      </c>
      <c r="D5" s="4" t="s">
        <v>2</v>
      </c>
      <c r="E5" s="4" t="s">
        <v>3</v>
      </c>
      <c r="F5" s="4" t="s">
        <v>4</v>
      </c>
      <c r="G5" s="4" t="s">
        <v>5</v>
      </c>
      <c r="H5" s="4" t="s">
        <v>6</v>
      </c>
      <c r="I5" s="4" t="s">
        <v>7</v>
      </c>
      <c r="J5" s="4" t="s">
        <v>8</v>
      </c>
      <c r="K5" s="4" t="s">
        <v>9</v>
      </c>
      <c r="L5" s="4" t="s">
        <v>10</v>
      </c>
      <c r="M5" s="4" t="s">
        <v>11</v>
      </c>
      <c r="N5" s="4" t="s">
        <v>12</v>
      </c>
      <c r="O5" s="4" t="s">
        <v>13</v>
      </c>
      <c r="P5" s="332" t="s">
        <v>14</v>
      </c>
      <c r="Q5" s="373"/>
      <c r="R5" s="373"/>
      <c r="S5" s="373"/>
      <c r="T5" s="373"/>
      <c r="U5" s="373"/>
      <c r="V5" s="373"/>
    </row>
    <row r="6" spans="2:22" ht="26" customHeight="1" x14ac:dyDescent="0.35">
      <c r="B6" s="333"/>
      <c r="C6" s="656" t="s">
        <v>424</v>
      </c>
      <c r="D6" s="659" t="s">
        <v>423</v>
      </c>
      <c r="E6" s="623" t="s">
        <v>422</v>
      </c>
      <c r="F6" s="624"/>
      <c r="G6" s="624"/>
      <c r="H6" s="624"/>
      <c r="I6" s="624"/>
      <c r="J6" s="625"/>
      <c r="K6" s="624" t="s">
        <v>421</v>
      </c>
      <c r="L6" s="624"/>
      <c r="M6" s="624"/>
      <c r="N6" s="624"/>
      <c r="O6" s="624"/>
      <c r="P6" s="626"/>
      <c r="Q6" s="373"/>
      <c r="R6" s="373"/>
      <c r="S6" s="373"/>
      <c r="T6" s="373"/>
      <c r="U6" s="373"/>
      <c r="V6" s="373"/>
    </row>
    <row r="7" spans="2:22" ht="21" customHeight="1" x14ac:dyDescent="0.35">
      <c r="B7" s="297"/>
      <c r="C7" s="657"/>
      <c r="D7" s="660"/>
      <c r="E7" s="653" t="s">
        <v>415</v>
      </c>
      <c r="F7" s="633"/>
      <c r="G7" s="633"/>
      <c r="H7" s="654" t="s">
        <v>414</v>
      </c>
      <c r="I7" s="633" t="s">
        <v>410</v>
      </c>
      <c r="J7" s="655"/>
      <c r="K7" s="654" t="s">
        <v>415</v>
      </c>
      <c r="L7" s="633"/>
      <c r="M7" s="633"/>
      <c r="N7" s="654" t="s">
        <v>414</v>
      </c>
      <c r="O7" s="633" t="s">
        <v>410</v>
      </c>
      <c r="P7" s="634"/>
      <c r="Q7" s="372"/>
      <c r="R7" s="372"/>
      <c r="S7" s="372"/>
      <c r="T7" s="372"/>
      <c r="U7" s="372"/>
      <c r="V7" s="372"/>
    </row>
    <row r="8" spans="2:22" ht="85" customHeight="1" x14ac:dyDescent="0.35">
      <c r="B8" s="297"/>
      <c r="C8" s="657"/>
      <c r="D8" s="660"/>
      <c r="E8" s="638" t="s">
        <v>398</v>
      </c>
      <c r="F8" s="370" t="s">
        <v>397</v>
      </c>
      <c r="G8" s="371" t="s">
        <v>396</v>
      </c>
      <c r="H8" s="638" t="s">
        <v>398</v>
      </c>
      <c r="I8" s="370" t="s">
        <v>397</v>
      </c>
      <c r="J8" s="407" t="s">
        <v>396</v>
      </c>
      <c r="K8" s="638" t="s">
        <v>398</v>
      </c>
      <c r="L8" s="370" t="s">
        <v>397</v>
      </c>
      <c r="M8" s="371" t="s">
        <v>396</v>
      </c>
      <c r="N8" s="638" t="s">
        <v>398</v>
      </c>
      <c r="O8" s="370" t="s">
        <v>397</v>
      </c>
      <c r="P8" s="369" t="s">
        <v>396</v>
      </c>
      <c r="Q8" s="365"/>
      <c r="R8" s="365"/>
      <c r="S8" s="365"/>
      <c r="T8" s="365"/>
      <c r="U8" s="365"/>
      <c r="V8" s="365"/>
    </row>
    <row r="9" spans="2:22" ht="13.5" customHeight="1" x14ac:dyDescent="0.35">
      <c r="B9" s="297"/>
      <c r="C9" s="658"/>
      <c r="D9" s="661"/>
      <c r="E9" s="639"/>
      <c r="F9" s="367"/>
      <c r="G9" s="368"/>
      <c r="H9" s="639"/>
      <c r="I9" s="367"/>
      <c r="J9" s="444"/>
      <c r="K9" s="639"/>
      <c r="L9" s="367"/>
      <c r="M9" s="368"/>
      <c r="N9" s="639"/>
      <c r="O9" s="367"/>
      <c r="P9" s="366"/>
      <c r="Q9" s="365"/>
      <c r="R9" s="365"/>
      <c r="S9" s="365"/>
      <c r="T9" s="365"/>
      <c r="U9" s="365"/>
      <c r="V9" s="365"/>
    </row>
    <row r="10" spans="2:22" ht="40" customHeight="1" x14ac:dyDescent="0.35">
      <c r="B10" s="327" t="s">
        <v>31</v>
      </c>
      <c r="C10" s="443">
        <f>+SUM(C11:C45)</f>
        <v>1256.2996496300002</v>
      </c>
      <c r="D10" s="442"/>
      <c r="E10" s="440">
        <f>F10+G10</f>
        <v>160.63716549469765</v>
      </c>
      <c r="F10" s="439">
        <f>+SUM(F11:F45)</f>
        <v>87.174916727629196</v>
      </c>
      <c r="G10" s="441">
        <f>+SUM(G11:G45)</f>
        <v>73.462248767068459</v>
      </c>
      <c r="H10" s="440">
        <f>I10+J10</f>
        <v>224.24317894527741</v>
      </c>
      <c r="I10" s="439">
        <f>+SUM(I11:I45)</f>
        <v>130.87896773515422</v>
      </c>
      <c r="J10" s="438">
        <f>+SUM(J11:J45)</f>
        <v>93.364211210123202</v>
      </c>
      <c r="K10" s="363">
        <f t="shared" ref="K10:P12" si="0">+E10/$C10</f>
        <v>0.12786532698787889</v>
      </c>
      <c r="L10" s="362">
        <f t="shared" si="0"/>
        <v>6.9390226092400462E-2</v>
      </c>
      <c r="M10" s="364">
        <f t="shared" si="0"/>
        <v>5.847510089547843E-2</v>
      </c>
      <c r="N10" s="363">
        <f t="shared" si="0"/>
        <v>0.17849497849603038</v>
      </c>
      <c r="O10" s="364">
        <f t="shared" si="0"/>
        <v>0.10417814553534271</v>
      </c>
      <c r="P10" s="361">
        <f t="shared" si="0"/>
        <v>7.4316832960687695E-2</v>
      </c>
      <c r="Q10" s="53"/>
      <c r="R10" s="53"/>
      <c r="S10" s="53"/>
      <c r="T10" s="53"/>
      <c r="U10" s="53"/>
      <c r="V10" s="53"/>
    </row>
    <row r="11" spans="2:22" x14ac:dyDescent="0.35">
      <c r="B11" s="311" t="s">
        <v>32</v>
      </c>
      <c r="C11" s="394">
        <f>+'Table U1'!D9</f>
        <v>65.748720000000006</v>
      </c>
      <c r="D11" s="429">
        <f>+VLOOKUP(B11,'[2]Data C 2,4'!$A$2:$S$189,17,0)%</f>
        <v>0.3</v>
      </c>
      <c r="E11" s="426">
        <f>D11*TableC4!C11/(1000)</f>
        <v>9.0712982648098794</v>
      </c>
      <c r="F11" s="425">
        <f>+D11*TableC4!D11/(1000)</f>
        <v>2.3085218287813514</v>
      </c>
      <c r="G11" s="427">
        <f>+E11-F11</f>
        <v>6.7627764360285276</v>
      </c>
      <c r="H11" s="426">
        <f>D11*TableC4!N11/(1000)</f>
        <v>0.82589667809570855</v>
      </c>
      <c r="I11" s="425">
        <f>+D11*TableC4!O11/(1000)</f>
        <v>-7.3263187419705611E-2</v>
      </c>
      <c r="J11" s="424">
        <f>+H11-I11</f>
        <v>0.89915986551541416</v>
      </c>
      <c r="K11" s="61">
        <f t="shared" si="0"/>
        <v>0.13796919947353922</v>
      </c>
      <c r="L11" s="38">
        <f t="shared" si="0"/>
        <v>3.511128169158808E-2</v>
      </c>
      <c r="M11" s="354">
        <f t="shared" si="0"/>
        <v>0.10285791778195115</v>
      </c>
      <c r="N11" s="61">
        <f t="shared" si="0"/>
        <v>1.2561410748311274E-2</v>
      </c>
      <c r="O11" s="354">
        <f t="shared" si="0"/>
        <v>-1.1142907028411444E-3</v>
      </c>
      <c r="P11" s="54">
        <f t="shared" si="0"/>
        <v>1.3675701451152419E-2</v>
      </c>
      <c r="Q11" s="56"/>
      <c r="R11" s="56"/>
      <c r="S11" s="56"/>
      <c r="T11" s="56"/>
      <c r="U11" s="56"/>
      <c r="V11" s="56"/>
    </row>
    <row r="12" spans="2:22" x14ac:dyDescent="0.35">
      <c r="B12" s="311" t="s">
        <v>33</v>
      </c>
      <c r="C12" s="394">
        <f>+'Table U1'!D10</f>
        <v>12.08515173</v>
      </c>
      <c r="D12" s="429">
        <f>+VLOOKUP(B12,'[2]Data C 2,4'!$A$2:$S$189,17,0)%</f>
        <v>0.25</v>
      </c>
      <c r="E12" s="426">
        <f>D12*TableC4!C12/(1000)</f>
        <v>1.179604556891261</v>
      </c>
      <c r="F12" s="425">
        <f>+D12*TableC4!D12/(1000)</f>
        <v>0.88952010956842109</v>
      </c>
      <c r="G12" s="427">
        <f>+E12-F12</f>
        <v>0.29008444732283989</v>
      </c>
      <c r="H12" s="426">
        <f>D12*TableC4!N12/(1000)</f>
        <v>0.87582540635647443</v>
      </c>
      <c r="I12" s="425">
        <f>+D12*TableC4!O12/(1000)</f>
        <v>0.14572281673473036</v>
      </c>
      <c r="J12" s="424">
        <f>+H12-I12</f>
        <v>0.73010258962174412</v>
      </c>
      <c r="K12" s="61">
        <f t="shared" si="0"/>
        <v>9.7607757291373373E-2</v>
      </c>
      <c r="L12" s="38">
        <f t="shared" si="0"/>
        <v>7.3604380767540528E-2</v>
      </c>
      <c r="M12" s="354">
        <f t="shared" si="0"/>
        <v>2.4003376523832845E-2</v>
      </c>
      <c r="N12" s="61">
        <f t="shared" si="0"/>
        <v>7.2471196549592221E-2</v>
      </c>
      <c r="O12" s="354">
        <f t="shared" si="0"/>
        <v>1.2058004730961733E-2</v>
      </c>
      <c r="P12" s="54">
        <f t="shared" si="0"/>
        <v>6.0413191818630495E-2</v>
      </c>
      <c r="Q12" s="56"/>
      <c r="R12" s="56"/>
      <c r="S12" s="56"/>
      <c r="T12" s="56"/>
      <c r="U12" s="56"/>
      <c r="V12" s="56"/>
    </row>
    <row r="13" spans="2:22" x14ac:dyDescent="0.35">
      <c r="B13" s="311" t="s">
        <v>34</v>
      </c>
      <c r="C13" s="394">
        <f>+'Table U1'!D11</f>
        <v>19.854781719999998</v>
      </c>
      <c r="D13" s="435"/>
      <c r="E13" s="426"/>
      <c r="F13" s="425"/>
      <c r="G13" s="427"/>
      <c r="H13" s="426"/>
      <c r="I13" s="425"/>
      <c r="J13" s="424"/>
      <c r="K13" s="61"/>
      <c r="L13" s="38"/>
      <c r="M13" s="354"/>
      <c r="N13" s="61"/>
      <c r="O13" s="354"/>
      <c r="P13" s="54"/>
      <c r="T13" s="437"/>
      <c r="U13" s="437"/>
      <c r="V13" s="437"/>
    </row>
    <row r="14" spans="2:22" x14ac:dyDescent="0.35">
      <c r="B14" s="311" t="s">
        <v>35</v>
      </c>
      <c r="C14" s="394">
        <f>+'Table U1'!D12</f>
        <v>72.475261779999997</v>
      </c>
      <c r="D14" s="429">
        <f>+VLOOKUP(B14,'[2]Data C 2,4'!$A$2:$S$189,17,0)%</f>
        <v>0.26500000000000001</v>
      </c>
      <c r="E14" s="426">
        <f>D14*TableC4!C14/(1000)</f>
        <v>6.8407910504556089</v>
      </c>
      <c r="F14" s="425">
        <f>+D14*TableC4!D14/(1000)</f>
        <v>1.1693559866549033</v>
      </c>
      <c r="G14" s="427">
        <f t="shared" ref="G14:G24" si="1">+E14-F14</f>
        <v>5.6714350638007058</v>
      </c>
      <c r="H14" s="426">
        <f>D14*TableC4!N14/(1000)</f>
        <v>6.8449540841969316</v>
      </c>
      <c r="I14" s="425">
        <f>+D14*TableC4!O14/(1000)</f>
        <v>1.7956651997597513</v>
      </c>
      <c r="J14" s="424">
        <f t="shared" ref="J14:J24" si="2">+H14-I14</f>
        <v>5.0492888844371802</v>
      </c>
      <c r="K14" s="61">
        <f t="shared" ref="K14:K24" si="3">+E14/$C14</f>
        <v>9.4387945382259628E-2</v>
      </c>
      <c r="L14" s="38">
        <f t="shared" ref="L14:L24" si="4">+F14/$C14</f>
        <v>1.6134553472942327E-2</v>
      </c>
      <c r="M14" s="354">
        <f t="shared" ref="M14:M24" si="5">+G14/$C14</f>
        <v>7.8253391909317307E-2</v>
      </c>
      <c r="N14" s="61">
        <f t="shared" ref="N14:N24" si="6">+H14/$C14</f>
        <v>9.4445386137064491E-2</v>
      </c>
      <c r="O14" s="354">
        <f t="shared" ref="O14:O24" si="7">+I14/$C14</f>
        <v>2.4776249932156526E-2</v>
      </c>
      <c r="P14" s="54">
        <f t="shared" ref="P14:P24" si="8">+J14/$C14</f>
        <v>6.9669136204907958E-2</v>
      </c>
      <c r="T14" s="437"/>
      <c r="U14" s="437"/>
      <c r="V14" s="437"/>
    </row>
    <row r="15" spans="2:22" x14ac:dyDescent="0.35">
      <c r="B15" s="311" t="s">
        <v>36</v>
      </c>
      <c r="C15" s="394">
        <f>+'Table U1'!D13</f>
        <v>13.65415711</v>
      </c>
      <c r="D15" s="429">
        <f>+VLOOKUP(B15,'[2]Data C 2,4'!$A$2:$S$189,17,0)%</f>
        <v>0.27</v>
      </c>
      <c r="E15" s="426">
        <f>D15*TableC4!C15/(1000)</f>
        <v>2.4607018448333116</v>
      </c>
      <c r="F15" s="425">
        <f>+D15*TableC4!D15/(1000)</f>
        <v>0.31628323305521433</v>
      </c>
      <c r="G15" s="427">
        <f t="shared" si="1"/>
        <v>2.1444186117780974</v>
      </c>
      <c r="H15" s="426">
        <f>D15*TableC4!N15/(1000)</f>
        <v>-4.433569204836911E-2</v>
      </c>
      <c r="I15" s="425">
        <f>+D15*TableC4!O15/(1000)</f>
        <v>-5.1680916124014382E-2</v>
      </c>
      <c r="J15" s="424">
        <f t="shared" si="2"/>
        <v>7.3452240756452722E-3</v>
      </c>
      <c r="K15" s="61">
        <f t="shared" si="3"/>
        <v>0.18021631251270342</v>
      </c>
      <c r="L15" s="38">
        <f t="shared" si="4"/>
        <v>2.3163878261190912E-2</v>
      </c>
      <c r="M15" s="354">
        <f t="shared" si="5"/>
        <v>0.15705243425151255</v>
      </c>
      <c r="N15" s="61">
        <f t="shared" si="6"/>
        <v>-3.2470471586926912E-3</v>
      </c>
      <c r="O15" s="354">
        <f t="shared" si="7"/>
        <v>-3.7849949804784678E-3</v>
      </c>
      <c r="P15" s="54">
        <f t="shared" si="8"/>
        <v>5.3794782178577646E-4</v>
      </c>
      <c r="T15" s="436"/>
      <c r="U15" s="436"/>
      <c r="V15" s="436"/>
    </row>
    <row r="16" spans="2:22" x14ac:dyDescent="0.35">
      <c r="B16" s="311" t="s">
        <v>37</v>
      </c>
      <c r="C16" s="394">
        <f>+'Table U1'!D14</f>
        <v>8.8572358100000006</v>
      </c>
      <c r="D16" s="429">
        <f>+VLOOKUP(B16,'[2]Data C 2,4'!$A$2:$S$189,17,0)%</f>
        <v>0.19</v>
      </c>
      <c r="E16" s="426">
        <f>D16*TableC4!C16/(1000)</f>
        <v>0.53160550013520824</v>
      </c>
      <c r="F16" s="425">
        <f>+D16*TableC4!D16/(1000)</f>
        <v>0.43554972801321745</v>
      </c>
      <c r="G16" s="427">
        <f t="shared" si="1"/>
        <v>9.605577212199079E-2</v>
      </c>
      <c r="H16" s="426">
        <f>D16*TableC4!N16/(1000)</f>
        <v>0.14105994967049326</v>
      </c>
      <c r="I16" s="425">
        <f>+D16*TableC4!O16/(1000)</f>
        <v>0.14101983621584371</v>
      </c>
      <c r="J16" s="424">
        <f t="shared" si="2"/>
        <v>4.0113454649548519E-5</v>
      </c>
      <c r="K16" s="61">
        <f t="shared" si="3"/>
        <v>6.0019345938042513E-2</v>
      </c>
      <c r="L16" s="38">
        <f t="shared" si="4"/>
        <v>4.9174453221791037E-2</v>
      </c>
      <c r="M16" s="354">
        <f t="shared" si="5"/>
        <v>1.084489271625148E-2</v>
      </c>
      <c r="N16" s="61">
        <f t="shared" si="6"/>
        <v>1.592595621212136E-2</v>
      </c>
      <c r="O16" s="354">
        <f t="shared" si="7"/>
        <v>1.5921427321222432E-2</v>
      </c>
      <c r="P16" s="54">
        <f t="shared" si="8"/>
        <v>4.5288908989257805E-6</v>
      </c>
      <c r="T16" s="436"/>
      <c r="U16" s="436"/>
      <c r="V16" s="436"/>
    </row>
    <row r="17" spans="1:22" x14ac:dyDescent="0.35">
      <c r="B17" s="311" t="s">
        <v>38</v>
      </c>
      <c r="C17" s="394">
        <f>+'Table U1'!D15</f>
        <v>10.90409745</v>
      </c>
      <c r="D17" s="429">
        <f>+VLOOKUP(B17,'[2]Data C 2,4'!$A$2:$S$189,17,0)%</f>
        <v>0.22</v>
      </c>
      <c r="E17" s="426">
        <f>D17*TableC4!C17/(1000)</f>
        <v>1.2301453521909833</v>
      </c>
      <c r="F17" s="425">
        <f>+D17*TableC4!D17/(1000)</f>
        <v>1.0690232655803755</v>
      </c>
      <c r="G17" s="427">
        <f t="shared" si="1"/>
        <v>0.16112208661060778</v>
      </c>
      <c r="H17" s="426">
        <f>D17*TableC4!N17/(1000)</f>
        <v>1.2572510486472215</v>
      </c>
      <c r="I17" s="425">
        <f>+D17*TableC4!O17/(1000)</f>
        <v>0.73165327230277444</v>
      </c>
      <c r="J17" s="424">
        <f t="shared" si="2"/>
        <v>0.52559777634444704</v>
      </c>
      <c r="K17" s="61">
        <f t="shared" si="3"/>
        <v>0.11281496316698668</v>
      </c>
      <c r="L17" s="38">
        <f t="shared" si="4"/>
        <v>9.8038674955200036E-2</v>
      </c>
      <c r="M17" s="354">
        <f t="shared" si="5"/>
        <v>1.4776288211786642E-2</v>
      </c>
      <c r="N17" s="61">
        <f t="shared" si="6"/>
        <v>0.11530078985558052</v>
      </c>
      <c r="O17" s="354">
        <f t="shared" si="7"/>
        <v>6.7098930072637453E-2</v>
      </c>
      <c r="P17" s="54">
        <f t="shared" si="8"/>
        <v>4.8201859782943064E-2</v>
      </c>
      <c r="Q17" s="56"/>
      <c r="R17" s="56"/>
      <c r="S17" s="56"/>
      <c r="T17" s="56"/>
      <c r="U17" s="56"/>
      <c r="V17" s="56"/>
    </row>
    <row r="18" spans="1:22" x14ac:dyDescent="0.35">
      <c r="B18" s="321" t="s">
        <v>39</v>
      </c>
      <c r="C18" s="394">
        <f>+'Table U1'!D16</f>
        <v>0.56992463999999998</v>
      </c>
      <c r="D18" s="429">
        <f>+VLOOKUP(B18,'[2]Data C 2,4'!$A$2:$S$189,17,0)%</f>
        <v>0.2</v>
      </c>
      <c r="E18" s="426">
        <f>D18*TableC4!C18/(1000)</f>
        <v>8.1616963064682774E-2</v>
      </c>
      <c r="F18" s="425">
        <f>+D18*TableC4!D18/(1000)</f>
        <v>6.4751932161406428E-2</v>
      </c>
      <c r="G18" s="427">
        <f t="shared" si="1"/>
        <v>1.6865030903276346E-2</v>
      </c>
      <c r="H18" s="426">
        <f>D18*TableC4!N18/(1000)</f>
        <v>-1.2752678191102879E-3</v>
      </c>
      <c r="I18" s="425">
        <f>+D18*TableC4!O18/(1000)</f>
        <v>-1.2752678191102879E-3</v>
      </c>
      <c r="J18" s="424">
        <f t="shared" si="2"/>
        <v>0</v>
      </c>
      <c r="K18" s="61">
        <f t="shared" si="3"/>
        <v>0.14320658791780397</v>
      </c>
      <c r="L18" s="38">
        <f t="shared" si="4"/>
        <v>0.11361490207092367</v>
      </c>
      <c r="M18" s="354">
        <f t="shared" si="5"/>
        <v>2.9591685846880295E-2</v>
      </c>
      <c r="N18" s="61">
        <f t="shared" si="6"/>
        <v>-2.2376077986561312E-3</v>
      </c>
      <c r="O18" s="354">
        <f t="shared" si="7"/>
        <v>-2.2376077986561312E-3</v>
      </c>
      <c r="P18" s="54">
        <f t="shared" si="8"/>
        <v>0</v>
      </c>
      <c r="Q18" s="56"/>
      <c r="R18" s="56"/>
      <c r="S18" s="56"/>
      <c r="T18" s="56"/>
      <c r="U18" s="56"/>
      <c r="V18" s="56"/>
    </row>
    <row r="19" spans="1:22" x14ac:dyDescent="0.35">
      <c r="B19" s="311" t="s">
        <v>40</v>
      </c>
      <c r="C19" s="394">
        <f>+'Table U1'!D17</f>
        <v>6.7940927600000007</v>
      </c>
      <c r="D19" s="429">
        <f>+VLOOKUP(B19,'[2]Data C 2,4'!$A$2:$S$189,17,0)%</f>
        <v>0.2</v>
      </c>
      <c r="E19" s="426">
        <f>D19*TableC4!C19/(1000)</f>
        <v>0.95364430246526355</v>
      </c>
      <c r="F19" s="425">
        <f>+D19*TableC4!D19/(1000)</f>
        <v>0.77855645300260534</v>
      </c>
      <c r="G19" s="427">
        <f t="shared" si="1"/>
        <v>0.17508784946265821</v>
      </c>
      <c r="H19" s="426">
        <f>D19*TableC4!N19/(1000)</f>
        <v>0.71055429603855225</v>
      </c>
      <c r="I19" s="425">
        <f>+D19*TableC4!O19/(1000)</f>
        <v>0.64165493584310895</v>
      </c>
      <c r="J19" s="424">
        <f t="shared" si="2"/>
        <v>6.8899360195443293E-2</v>
      </c>
      <c r="K19" s="61">
        <f t="shared" si="3"/>
        <v>0.14036374482253366</v>
      </c>
      <c r="L19" s="38">
        <f t="shared" si="4"/>
        <v>0.11459314444252676</v>
      </c>
      <c r="M19" s="354">
        <f t="shared" si="5"/>
        <v>2.5770600380006909E-2</v>
      </c>
      <c r="N19" s="61">
        <f t="shared" si="6"/>
        <v>0.10458413229532536</v>
      </c>
      <c r="O19" s="354">
        <f t="shared" si="7"/>
        <v>9.4443063777526176E-2</v>
      </c>
      <c r="P19" s="54">
        <f t="shared" si="8"/>
        <v>1.0141068517799171E-2</v>
      </c>
      <c r="Q19" s="56"/>
      <c r="R19" s="56"/>
      <c r="S19" s="56"/>
      <c r="T19" s="56"/>
      <c r="U19" s="56"/>
      <c r="V19" s="56"/>
    </row>
    <row r="20" spans="1:22" x14ac:dyDescent="0.35">
      <c r="B20" s="321" t="s">
        <v>41</v>
      </c>
      <c r="C20" s="394">
        <f>+'Table U1'!D18</f>
        <v>60.619620359999999</v>
      </c>
      <c r="D20" s="429">
        <f>+VLOOKUP(B20,'[2]Data C 2,4'!$A$2:$S$189,17,0)%</f>
        <v>0.31</v>
      </c>
      <c r="E20" s="426">
        <f>D20*TableC4!C20/(1000)</f>
        <v>13.194075470430841</v>
      </c>
      <c r="F20" s="425">
        <f>+D20*TableC4!D20/(1000)</f>
        <v>10.956717852419107</v>
      </c>
      <c r="G20" s="427">
        <f t="shared" si="1"/>
        <v>2.2373576180117336</v>
      </c>
      <c r="H20" s="426">
        <f>D20*TableC4!N20/(1000)</f>
        <v>31.373280536965915</v>
      </c>
      <c r="I20" s="425">
        <f>+D20*TableC4!O20/(1000)</f>
        <v>24.797433330613128</v>
      </c>
      <c r="J20" s="424">
        <f t="shared" si="2"/>
        <v>6.5758472063527869</v>
      </c>
      <c r="K20" s="61">
        <f t="shared" si="3"/>
        <v>0.2176535483408765</v>
      </c>
      <c r="L20" s="38">
        <f t="shared" si="4"/>
        <v>0.18074540532175493</v>
      </c>
      <c r="M20" s="354">
        <f t="shared" si="5"/>
        <v>3.690814301912157E-2</v>
      </c>
      <c r="N20" s="61">
        <f t="shared" si="6"/>
        <v>0.51754333581520828</v>
      </c>
      <c r="O20" s="354">
        <f t="shared" si="7"/>
        <v>0.40906612716063417</v>
      </c>
      <c r="P20" s="54">
        <f t="shared" si="8"/>
        <v>0.10847720865457408</v>
      </c>
      <c r="Q20" s="56"/>
      <c r="R20" s="56"/>
      <c r="S20" s="56"/>
      <c r="T20" s="56"/>
      <c r="U20" s="56"/>
      <c r="V20" s="56"/>
    </row>
    <row r="21" spans="1:22" x14ac:dyDescent="0.35">
      <c r="B21" s="311" t="s">
        <v>42</v>
      </c>
      <c r="C21" s="394">
        <f>+'Table U1'!D19</f>
        <v>77.73633233000001</v>
      </c>
      <c r="D21" s="429">
        <f>+VLOOKUP(B21,'[2]Data C 2,4'!$A$2:$S$189,17,0)%</f>
        <v>0.3</v>
      </c>
      <c r="E21" s="426">
        <f>D21*TableC4!C21/(1000)</f>
        <v>22.666129666068837</v>
      </c>
      <c r="F21" s="425">
        <f>+D21*TableC4!D21/(1000)</f>
        <v>19.007410380073075</v>
      </c>
      <c r="G21" s="427">
        <f t="shared" si="1"/>
        <v>3.6587192859957618</v>
      </c>
      <c r="H21" s="426">
        <f>D21*TableC4!N21/(1000)</f>
        <v>16.812982984059897</v>
      </c>
      <c r="I21" s="425">
        <f>+D21*TableC4!O21/(1000)</f>
        <v>11.967024804562968</v>
      </c>
      <c r="J21" s="424">
        <f t="shared" si="2"/>
        <v>4.8459581794969289</v>
      </c>
      <c r="K21" s="61">
        <f t="shared" si="3"/>
        <v>0.29157703980486771</v>
      </c>
      <c r="L21" s="38">
        <f t="shared" si="4"/>
        <v>0.2445112833389714</v>
      </c>
      <c r="M21" s="354">
        <f t="shared" si="5"/>
        <v>4.7065756465896301E-2</v>
      </c>
      <c r="N21" s="61">
        <f t="shared" si="6"/>
        <v>0.21628217437229708</v>
      </c>
      <c r="O21" s="354">
        <f t="shared" si="7"/>
        <v>0.15394377951562621</v>
      </c>
      <c r="P21" s="54">
        <f t="shared" si="8"/>
        <v>6.2338394856670851E-2</v>
      </c>
      <c r="Q21" s="56"/>
      <c r="R21" s="56"/>
      <c r="S21" s="56"/>
      <c r="T21" s="56"/>
      <c r="U21" s="56"/>
      <c r="V21" s="56"/>
    </row>
    <row r="22" spans="1:22" x14ac:dyDescent="0.35">
      <c r="B22" s="311" t="s">
        <v>43</v>
      </c>
      <c r="C22" s="394">
        <f>+'Table U1'!D20</f>
        <v>4.5573899999999998</v>
      </c>
      <c r="D22" s="429">
        <f>+VLOOKUP(B22,'[2]Data C 2,4'!$A$2:$S$189,17,0)%</f>
        <v>0.28000000000000003</v>
      </c>
      <c r="E22" s="426">
        <f>D22*TableC4!C22/(1000)</f>
        <v>0.53809805607546557</v>
      </c>
      <c r="F22" s="425">
        <f>+D22*TableC4!D22/(1000)</f>
        <v>0.45359895660398719</v>
      </c>
      <c r="G22" s="427">
        <f t="shared" si="1"/>
        <v>8.4499099471478378E-2</v>
      </c>
      <c r="H22" s="426">
        <f>D22*TableC4!N22/(1000)</f>
        <v>0.19351114253304585</v>
      </c>
      <c r="I22" s="425">
        <f>+D22*TableC4!O22/(1000)</f>
        <v>0.19315906558386453</v>
      </c>
      <c r="J22" s="424">
        <f t="shared" si="2"/>
        <v>3.520769491813236E-4</v>
      </c>
      <c r="K22" s="61">
        <f t="shared" si="3"/>
        <v>0.11807154008664292</v>
      </c>
      <c r="L22" s="38">
        <f t="shared" si="4"/>
        <v>9.9530423466937704E-2</v>
      </c>
      <c r="M22" s="354">
        <f t="shared" si="5"/>
        <v>1.8541116619705221E-2</v>
      </c>
      <c r="N22" s="61">
        <f t="shared" si="6"/>
        <v>4.2460957375393779E-2</v>
      </c>
      <c r="O22" s="354">
        <f t="shared" si="7"/>
        <v>4.2383703300324205E-2</v>
      </c>
      <c r="P22" s="54">
        <f t="shared" si="8"/>
        <v>7.7254075069573512E-5</v>
      </c>
      <c r="Q22" s="56"/>
      <c r="R22" s="56"/>
      <c r="S22" s="56"/>
      <c r="T22" s="56"/>
      <c r="U22" s="56"/>
      <c r="V22" s="56"/>
    </row>
    <row r="23" spans="1:22" x14ac:dyDescent="0.35">
      <c r="B23" s="311" t="s">
        <v>44</v>
      </c>
      <c r="C23" s="394">
        <f>+'Table U1'!D21</f>
        <v>2.1118351299999998</v>
      </c>
      <c r="D23" s="429">
        <f>+VLOOKUP(B23,'[2]Data C 2,4'!$A$2:$S$189,17,0)%</f>
        <v>0.09</v>
      </c>
      <c r="E23" s="426">
        <f>D23*TableC4!C23/(1000)</f>
        <v>0.51938713060648134</v>
      </c>
      <c r="F23" s="425">
        <f>+D23*TableC4!D23/(1000)</f>
        <v>0.44523140456553112</v>
      </c>
      <c r="G23" s="427">
        <f t="shared" si="1"/>
        <v>7.4155726040950221E-2</v>
      </c>
      <c r="H23" s="426">
        <f>D23*TableC4!N23/(1000)</f>
        <v>7.0774720964992363E-2</v>
      </c>
      <c r="I23" s="425">
        <f>+D23*TableC4!O23/(1000)</f>
        <v>6.9789540707550654E-2</v>
      </c>
      <c r="J23" s="424">
        <f t="shared" si="2"/>
        <v>9.8518025744170901E-4</v>
      </c>
      <c r="K23" s="61">
        <f t="shared" si="3"/>
        <v>0.24594113585300639</v>
      </c>
      <c r="L23" s="38">
        <f t="shared" si="4"/>
        <v>0.210826781996723</v>
      </c>
      <c r="M23" s="354">
        <f t="shared" si="5"/>
        <v>3.5114353856283385E-2</v>
      </c>
      <c r="N23" s="61">
        <f t="shared" si="6"/>
        <v>3.3513374202176649E-2</v>
      </c>
      <c r="O23" s="354">
        <f t="shared" si="7"/>
        <v>3.3046869860314645E-2</v>
      </c>
      <c r="P23" s="54">
        <f t="shared" si="8"/>
        <v>4.6650434186200373E-4</v>
      </c>
      <c r="Q23" s="56"/>
      <c r="R23" s="56"/>
      <c r="S23" s="56"/>
      <c r="T23" s="56"/>
      <c r="U23" s="56"/>
      <c r="V23" s="56"/>
    </row>
    <row r="24" spans="1:22" x14ac:dyDescent="0.35">
      <c r="B24" s="311" t="s">
        <v>45</v>
      </c>
      <c r="C24" s="394">
        <f>+'Table U1'!D22</f>
        <v>0.51439999999999997</v>
      </c>
      <c r="D24" s="429">
        <f>+VLOOKUP(B24,'[2]Data C 2,4'!$A$2:$S$189,17,0)%</f>
        <v>0.2</v>
      </c>
      <c r="E24" s="426">
        <f>D24*TableC4!C24/(1000)</f>
        <v>0.13176663824454712</v>
      </c>
      <c r="F24" s="425">
        <f>+D24*TableC4!D24/(1000)</f>
        <v>4.9606418384819981E-2</v>
      </c>
      <c r="G24" s="427">
        <f t="shared" si="1"/>
        <v>8.2160219859727143E-2</v>
      </c>
      <c r="H24" s="426">
        <f>D24*TableC4!N24/(1000)</f>
        <v>4.3091768041823826E-3</v>
      </c>
      <c r="I24" s="425">
        <f>+D24*TableC4!O24/(1000)</f>
        <v>4.0933192691728513E-3</v>
      </c>
      <c r="J24" s="424">
        <f t="shared" si="2"/>
        <v>2.1585753500953132E-4</v>
      </c>
      <c r="K24" s="61">
        <f t="shared" si="3"/>
        <v>0.25615598414569818</v>
      </c>
      <c r="L24" s="38">
        <f t="shared" si="4"/>
        <v>9.6435494527255028E-2</v>
      </c>
      <c r="M24" s="354">
        <f t="shared" si="5"/>
        <v>0.15972048961844312</v>
      </c>
      <c r="N24" s="61">
        <f t="shared" si="6"/>
        <v>8.3770933207278058E-3</v>
      </c>
      <c r="O24" s="354">
        <f t="shared" si="7"/>
        <v>7.9574635870389814E-3</v>
      </c>
      <c r="P24" s="54">
        <f t="shared" si="8"/>
        <v>4.1962973368882451E-4</v>
      </c>
      <c r="Q24" s="56"/>
      <c r="R24" s="56"/>
      <c r="S24" s="56"/>
      <c r="T24" s="56"/>
      <c r="U24" s="56"/>
      <c r="V24" s="56"/>
    </row>
    <row r="25" spans="1:22" x14ac:dyDescent="0.35">
      <c r="B25" s="311" t="s">
        <v>46</v>
      </c>
      <c r="C25" s="394">
        <f>+'Table U1'!D23</f>
        <v>12.195450230000001</v>
      </c>
      <c r="D25" s="435"/>
      <c r="E25" s="426"/>
      <c r="F25" s="425"/>
      <c r="G25" s="427"/>
      <c r="H25" s="426"/>
      <c r="I25" s="425"/>
      <c r="J25" s="424"/>
      <c r="K25" s="61"/>
      <c r="L25" s="38"/>
      <c r="M25" s="354"/>
      <c r="N25" s="61"/>
      <c r="O25" s="354"/>
      <c r="P25" s="54"/>
      <c r="Q25" s="56"/>
      <c r="R25" s="56"/>
      <c r="S25" s="56"/>
      <c r="T25" s="56"/>
      <c r="U25" s="56"/>
      <c r="V25" s="56"/>
    </row>
    <row r="26" spans="1:22" x14ac:dyDescent="0.35">
      <c r="B26" s="311" t="s">
        <v>47</v>
      </c>
      <c r="C26" s="394">
        <f>+'Table U1'!D24</f>
        <v>12.144949389999999</v>
      </c>
      <c r="D26" s="429">
        <f>+VLOOKUP(B26,'[2]Data C 2,4'!$A$2:$S$189,17,0)%</f>
        <v>0.23</v>
      </c>
      <c r="E26" s="426">
        <f>D26*TableC4!C26/(1000)</f>
        <v>1.1176984382182515</v>
      </c>
      <c r="F26" s="425">
        <f>+D26*TableC4!D26/(1000)</f>
        <v>8.7342180731431782E-2</v>
      </c>
      <c r="G26" s="427">
        <f>+E26-F26</f>
        <v>1.0303562574868197</v>
      </c>
      <c r="H26" s="426">
        <f>D26*TableC4!N26/(1000)</f>
        <v>0.19315088022967469</v>
      </c>
      <c r="I26" s="425">
        <f>+D26*TableC4!O26/(1000)</f>
        <v>2.3909285499262644E-2</v>
      </c>
      <c r="J26" s="424">
        <f>+H26-I26</f>
        <v>0.16924159473041206</v>
      </c>
      <c r="K26" s="61">
        <f t="shared" ref="K26:P30" si="9">+E26/$C26</f>
        <v>9.2029896735391137E-2</v>
      </c>
      <c r="L26" s="38">
        <f t="shared" si="9"/>
        <v>7.1916463318775336E-3</v>
      </c>
      <c r="M26" s="354">
        <f t="shared" si="9"/>
        <v>8.4838250403513601E-2</v>
      </c>
      <c r="N26" s="61">
        <f t="shared" si="9"/>
        <v>1.5903802809480023E-2</v>
      </c>
      <c r="O26" s="354">
        <f t="shared" si="9"/>
        <v>1.9686607767134259E-3</v>
      </c>
      <c r="P26" s="54">
        <f t="shared" si="9"/>
        <v>1.39351420327666E-2</v>
      </c>
      <c r="Q26" s="56"/>
      <c r="R26" s="56"/>
      <c r="S26" s="56"/>
      <c r="T26" s="56"/>
      <c r="U26" s="56"/>
      <c r="V26" s="56"/>
    </row>
    <row r="27" spans="1:22" x14ac:dyDescent="0.35">
      <c r="B27" s="311" t="s">
        <v>48</v>
      </c>
      <c r="C27" s="394">
        <f>+'Table U1'!D25</f>
        <v>39.477272419999998</v>
      </c>
      <c r="D27" s="429">
        <f>+VLOOKUP(B27,'[2]Data C 2,4'!$A$2:$S$189,17,0)%</f>
        <v>0.24</v>
      </c>
      <c r="E27" s="426">
        <f>D27*TableC4!C27/(1000)</f>
        <v>6.9434834058996664</v>
      </c>
      <c r="F27" s="425">
        <f>+D27*TableC4!D27/(1000)</f>
        <v>6.1568826015597251</v>
      </c>
      <c r="G27" s="427">
        <f>+E27-F27</f>
        <v>0.78660080433994128</v>
      </c>
      <c r="H27" s="426">
        <f>D27*TableC4!N27/(1000)</f>
        <v>1.4125711242729371</v>
      </c>
      <c r="I27" s="425">
        <f>+D27*TableC4!O27/(1000)</f>
        <v>0.95112960459785312</v>
      </c>
      <c r="J27" s="424">
        <f>+H27-I27</f>
        <v>0.46144151967508396</v>
      </c>
      <c r="K27" s="61">
        <f t="shared" si="9"/>
        <v>0.17588559138604407</v>
      </c>
      <c r="L27" s="38">
        <f t="shared" si="9"/>
        <v>0.15596018225515806</v>
      </c>
      <c r="M27" s="354">
        <f t="shared" si="9"/>
        <v>1.9925409130885981E-2</v>
      </c>
      <c r="N27" s="61">
        <f t="shared" si="9"/>
        <v>3.5781882528370917E-2</v>
      </c>
      <c r="O27" s="354">
        <f t="shared" si="9"/>
        <v>2.409309322282335E-2</v>
      </c>
      <c r="P27" s="54">
        <f t="shared" si="9"/>
        <v>1.1688789305547568E-2</v>
      </c>
      <c r="Q27" s="56"/>
      <c r="R27" s="56"/>
      <c r="S27" s="56"/>
      <c r="T27" s="56"/>
      <c r="U27" s="56"/>
      <c r="V27" s="56"/>
    </row>
    <row r="28" spans="1:22" x14ac:dyDescent="0.35">
      <c r="B28" s="311" t="s">
        <v>49</v>
      </c>
      <c r="C28" s="394">
        <f>+'Table U1'!D26</f>
        <v>193.06911738000002</v>
      </c>
      <c r="D28" s="429">
        <f>+VLOOKUP(B28,'[2]Data C 2,4'!$A$2:$S$189,17,0)%</f>
        <v>0.30620000000000003</v>
      </c>
      <c r="E28" s="426">
        <f>D28*TableC4!C28/(1000)</f>
        <v>5.3942473800178998</v>
      </c>
      <c r="F28" s="425">
        <f>+D28*TableC4!D28/(1000)</f>
        <v>3.037255771997688</v>
      </c>
      <c r="G28" s="427">
        <f>+E28-F28</f>
        <v>2.3569916080202118</v>
      </c>
      <c r="H28" s="426">
        <f>D28*TableC4!N28/(1000)</f>
        <v>9.2895402648370435</v>
      </c>
      <c r="I28" s="425"/>
      <c r="J28" s="424">
        <f>+H28-I28</f>
        <v>9.2895402648370435</v>
      </c>
      <c r="K28" s="61">
        <f t="shared" si="9"/>
        <v>2.7939462578061635E-2</v>
      </c>
      <c r="L28" s="38">
        <f t="shared" si="9"/>
        <v>1.5731442776628742E-2</v>
      </c>
      <c r="M28" s="354">
        <f t="shared" si="9"/>
        <v>1.2208019801432893E-2</v>
      </c>
      <c r="N28" s="61">
        <f t="shared" si="9"/>
        <v>4.8115101943276117E-2</v>
      </c>
      <c r="O28" s="354">
        <f t="shared" si="9"/>
        <v>0</v>
      </c>
      <c r="P28" s="54">
        <f t="shared" si="9"/>
        <v>4.8115101943276117E-2</v>
      </c>
      <c r="Q28" s="56"/>
      <c r="R28" s="56"/>
      <c r="S28" s="56"/>
      <c r="T28" s="56"/>
      <c r="U28" s="56"/>
      <c r="V28" s="56"/>
    </row>
    <row r="29" spans="1:22" x14ac:dyDescent="0.35">
      <c r="A29" s="253" t="s">
        <v>389</v>
      </c>
      <c r="B29" s="311" t="s">
        <v>50</v>
      </c>
      <c r="C29" s="394">
        <f>+'Table U1'!D27</f>
        <v>70.644415980000005</v>
      </c>
      <c r="D29" s="429">
        <f>+VLOOKUP(A29,'[2]Data C 2,4'!$A$2:$S$189,17,0)%</f>
        <v>0.22</v>
      </c>
      <c r="E29" s="426">
        <f>D29*TableC4!C29/(1000)</f>
        <v>2.2079477648152865</v>
      </c>
      <c r="F29" s="425">
        <f>+D29*TableC4!D29/(1000)</f>
        <v>0.41784726002170525</v>
      </c>
      <c r="G29" s="427">
        <f>+E29-F29</f>
        <v>1.7901005047935814</v>
      </c>
      <c r="H29" s="426">
        <f>D29*TableC4!N29/(1000)</f>
        <v>0.54145930081150273</v>
      </c>
      <c r="I29" s="425">
        <f>+D29*TableC4!O29/(1000)</f>
        <v>0.26971822638886783</v>
      </c>
      <c r="J29" s="424">
        <f>+H29-I29</f>
        <v>0.2717410744226349</v>
      </c>
      <c r="K29" s="61">
        <f t="shared" si="9"/>
        <v>3.1254384853862678E-2</v>
      </c>
      <c r="L29" s="38">
        <f t="shared" si="9"/>
        <v>5.9147953058314067E-3</v>
      </c>
      <c r="M29" s="354">
        <f t="shared" si="9"/>
        <v>2.5339589548031272E-2</v>
      </c>
      <c r="N29" s="61">
        <f t="shared" si="9"/>
        <v>7.6645732475839863E-3</v>
      </c>
      <c r="O29" s="354">
        <f t="shared" si="9"/>
        <v>3.8179695117760929E-3</v>
      </c>
      <c r="P29" s="54">
        <f t="shared" si="9"/>
        <v>3.8466037358078939E-3</v>
      </c>
      <c r="Q29" s="56"/>
      <c r="R29" s="56"/>
      <c r="S29" s="56"/>
      <c r="T29" s="56"/>
      <c r="U29" s="56"/>
      <c r="V29" s="56"/>
    </row>
    <row r="30" spans="1:22" x14ac:dyDescent="0.35">
      <c r="B30" s="297" t="s">
        <v>51</v>
      </c>
      <c r="C30" s="548">
        <f>+'Table U1'!D28</f>
        <v>5.339E-2</v>
      </c>
      <c r="D30" s="429">
        <f>+VLOOKUP(B30,'[2]Data C 2,4'!$A$2:$S$189,17,0)%</f>
        <v>0.2</v>
      </c>
      <c r="E30" s="426">
        <f>D30*TableC4!C30/(1000)</f>
        <v>7.6723405105775189E-2</v>
      </c>
      <c r="F30" s="425">
        <f>+D30*TableC4!D30/(1000)</f>
        <v>5.6094523388723845E-2</v>
      </c>
      <c r="G30" s="427">
        <f>+E30-F30</f>
        <v>2.0628881717051344E-2</v>
      </c>
      <c r="H30" s="426">
        <f>D30*TableC4!N30/(1000)</f>
        <v>-4.0802184636148329E-4</v>
      </c>
      <c r="I30" s="425">
        <f>+D30*TableC4!O30/(1000)</f>
        <v>-4.3474197583611069E-4</v>
      </c>
      <c r="J30" s="424">
        <f>+H30-I30</f>
        <v>2.6720129474627405E-5</v>
      </c>
      <c r="K30" s="61">
        <f t="shared" si="9"/>
        <v>1.4370369939272372</v>
      </c>
      <c r="L30" s="38">
        <f t="shared" si="9"/>
        <v>1.0506559915475528</v>
      </c>
      <c r="M30" s="354">
        <f t="shared" si="9"/>
        <v>0.38638100237968426</v>
      </c>
      <c r="N30" s="61">
        <f t="shared" si="9"/>
        <v>-7.6422896864859202E-3</v>
      </c>
      <c r="O30" s="354">
        <f t="shared" si="9"/>
        <v>-8.1427603640402829E-3</v>
      </c>
      <c r="P30" s="54">
        <f t="shared" si="9"/>
        <v>5.0047067755436237E-4</v>
      </c>
      <c r="Q30" s="56"/>
      <c r="R30" s="56"/>
      <c r="S30" s="56"/>
      <c r="T30" s="56"/>
      <c r="U30" s="56"/>
      <c r="V30" s="56"/>
    </row>
    <row r="31" spans="1:22" x14ac:dyDescent="0.35">
      <c r="B31" s="297" t="s">
        <v>52</v>
      </c>
      <c r="C31" s="394">
        <f>+'Table U1'!D29</f>
        <v>4.2104780600000007</v>
      </c>
      <c r="D31" s="428"/>
      <c r="E31" s="426"/>
      <c r="F31" s="425"/>
      <c r="G31" s="427"/>
      <c r="H31" s="426"/>
      <c r="I31" s="425"/>
      <c r="J31" s="424"/>
      <c r="K31" s="61"/>
      <c r="L31" s="38"/>
      <c r="M31" s="354"/>
      <c r="N31" s="61"/>
      <c r="O31" s="354"/>
      <c r="P31" s="54"/>
      <c r="Q31" s="56"/>
      <c r="R31" s="56"/>
      <c r="S31" s="56"/>
      <c r="T31" s="56"/>
      <c r="U31" s="56"/>
      <c r="V31" s="56"/>
    </row>
    <row r="32" spans="1:22" x14ac:dyDescent="0.35">
      <c r="B32" s="297" t="s">
        <v>53</v>
      </c>
      <c r="C32" s="394">
        <f>+'Table U1'!D30</f>
        <v>41.718148390000003</v>
      </c>
      <c r="D32" s="429">
        <f>+VLOOKUP(B32,'[2]Data C 2,4'!$A$2:$S$189,17,0)%</f>
        <v>0.3</v>
      </c>
      <c r="E32" s="426">
        <f>D32*TableC4!C32/(1000)</f>
        <v>6.1084817361008446</v>
      </c>
      <c r="F32" s="425">
        <f>+D32*TableC4!D32/(1000)</f>
        <v>1.3133115231824497</v>
      </c>
      <c r="G32" s="427">
        <f>+E32-F32</f>
        <v>4.7951702129183946</v>
      </c>
      <c r="H32" s="426">
        <f>D32*TableC4!N32/(1000)</f>
        <v>1.7148385659587377</v>
      </c>
      <c r="I32" s="425">
        <f>+D32*TableC4!O32/(1000)</f>
        <v>1.418149146147323</v>
      </c>
      <c r="J32" s="424">
        <f>+H32-I32</f>
        <v>0.29668941981141472</v>
      </c>
      <c r="K32" s="61">
        <f t="shared" ref="K32:P32" si="10">+E32/$C32</f>
        <v>0.1464226475009392</v>
      </c>
      <c r="L32" s="38">
        <f t="shared" si="10"/>
        <v>3.1480580367686105E-2</v>
      </c>
      <c r="M32" s="354">
        <f t="shared" si="10"/>
        <v>0.11494206713325308</v>
      </c>
      <c r="N32" s="61">
        <f t="shared" si="10"/>
        <v>4.1105337416408226E-2</v>
      </c>
      <c r="O32" s="354">
        <f t="shared" si="10"/>
        <v>3.3993578355631396E-2</v>
      </c>
      <c r="P32" s="54">
        <f t="shared" si="10"/>
        <v>7.1117590607768268E-3</v>
      </c>
      <c r="Q32" s="56"/>
      <c r="R32" s="56"/>
      <c r="S32" s="56"/>
      <c r="T32" s="56"/>
      <c r="U32" s="56"/>
      <c r="V32" s="56"/>
    </row>
    <row r="33" spans="1:22" x14ac:dyDescent="0.35">
      <c r="B33" s="297" t="s">
        <v>54</v>
      </c>
      <c r="C33" s="394">
        <f>+'Table U1'!D31</f>
        <v>33.62342658</v>
      </c>
      <c r="D33" s="428"/>
      <c r="E33" s="426"/>
      <c r="F33" s="425"/>
      <c r="G33" s="427"/>
      <c r="H33" s="426"/>
      <c r="I33" s="425"/>
      <c r="J33" s="424"/>
      <c r="K33" s="61"/>
      <c r="L33" s="38"/>
      <c r="M33" s="354"/>
      <c r="N33" s="61"/>
      <c r="O33" s="354"/>
      <c r="P33" s="54"/>
      <c r="Q33" s="56"/>
      <c r="R33" s="56"/>
      <c r="S33" s="56"/>
      <c r="T33" s="56"/>
      <c r="U33" s="56"/>
      <c r="V33" s="56"/>
    </row>
    <row r="34" spans="1:22" x14ac:dyDescent="0.35">
      <c r="B34" s="297" t="s">
        <v>55</v>
      </c>
      <c r="C34" s="394">
        <f>+'Table U1'!D32</f>
        <v>8.1469159199999996</v>
      </c>
      <c r="D34" s="429">
        <f>+VLOOKUP(B34,'[2]Data C 2,4'!$A$2:$S$189,17,0)%</f>
        <v>0.28000000000000003</v>
      </c>
      <c r="E34" s="426">
        <f>D34*TableC4!C34/(1000)</f>
        <v>0.88354721338834674</v>
      </c>
      <c r="F34" s="425">
        <f>+D34*TableC4!D34/(1000)</f>
        <v>0.16097468645948457</v>
      </c>
      <c r="G34" s="427">
        <f t="shared" ref="G34:G45" si="11">+E34-F34</f>
        <v>0.7225725269288622</v>
      </c>
      <c r="H34" s="426">
        <f>D34*TableC4!N34/(1000)</f>
        <v>0.29239413400751951</v>
      </c>
      <c r="I34" s="425">
        <f>+D34*TableC4!O34/(1000)</f>
        <v>-4.776561387172315E-2</v>
      </c>
      <c r="J34" s="424">
        <f t="shared" ref="J34:J45" si="12">+H34-I34</f>
        <v>0.34015974787924264</v>
      </c>
      <c r="K34" s="61">
        <f t="shared" ref="K34:P41" si="13">+E34/$C34</f>
        <v>0.10845174076478585</v>
      </c>
      <c r="L34" s="38">
        <f t="shared" si="13"/>
        <v>1.975897235717201E-2</v>
      </c>
      <c r="M34" s="354">
        <f t="shared" si="13"/>
        <v>8.8692768407613837E-2</v>
      </c>
      <c r="N34" s="61">
        <f t="shared" si="13"/>
        <v>3.5890162225648642E-2</v>
      </c>
      <c r="O34" s="354">
        <f t="shared" si="13"/>
        <v>-5.8630301749478661E-3</v>
      </c>
      <c r="P34" s="54">
        <f t="shared" si="13"/>
        <v>4.1753192400596502E-2</v>
      </c>
      <c r="Q34" s="56"/>
      <c r="R34" s="56"/>
      <c r="S34" s="56"/>
      <c r="T34" s="56"/>
      <c r="U34" s="56"/>
      <c r="V34" s="56"/>
    </row>
    <row r="35" spans="1:22" x14ac:dyDescent="0.35">
      <c r="B35" s="297" t="s">
        <v>56</v>
      </c>
      <c r="C35" s="394">
        <f>+'Table U1'!D33</f>
        <v>23.824545450000002</v>
      </c>
      <c r="D35" s="429">
        <f>+VLOOKUP(B35,'[2]Data C 2,4'!$A$2:$S$189,17,0)%</f>
        <v>0.22</v>
      </c>
      <c r="E35" s="426">
        <f>D35*TableC4!C35/(1000)</f>
        <v>1.789122067325243</v>
      </c>
      <c r="F35" s="425">
        <f>+D35*TableC4!D35/(1000)</f>
        <v>0.72400012988731155</v>
      </c>
      <c r="G35" s="427">
        <f t="shared" si="11"/>
        <v>1.0651219374379315</v>
      </c>
      <c r="H35" s="426">
        <f>D35*TableC4!N35/(1000)</f>
        <v>1.8788850102267614</v>
      </c>
      <c r="I35" s="425">
        <f>+D35*TableC4!O35/(1000)</f>
        <v>1.3280365249150636</v>
      </c>
      <c r="J35" s="424">
        <f t="shared" si="12"/>
        <v>0.55084848531169772</v>
      </c>
      <c r="K35" s="61">
        <f t="shared" si="13"/>
        <v>7.5095748251736025E-2</v>
      </c>
      <c r="L35" s="38">
        <f t="shared" si="13"/>
        <v>3.0388832870148694E-2</v>
      </c>
      <c r="M35" s="354">
        <f t="shared" si="13"/>
        <v>4.4706915381587331E-2</v>
      </c>
      <c r="N35" s="61">
        <f t="shared" si="13"/>
        <v>7.8863414799242734E-2</v>
      </c>
      <c r="O35" s="354">
        <f t="shared" si="13"/>
        <v>5.5742365691810652E-2</v>
      </c>
      <c r="P35" s="54">
        <f t="shared" si="13"/>
        <v>2.3121049107432085E-2</v>
      </c>
      <c r="Q35" s="56"/>
      <c r="R35" s="56"/>
      <c r="S35" s="56"/>
      <c r="T35" s="56"/>
      <c r="U35" s="56"/>
      <c r="V35" s="56"/>
    </row>
    <row r="36" spans="1:22" x14ac:dyDescent="0.35">
      <c r="B36" s="297" t="s">
        <v>57</v>
      </c>
      <c r="C36" s="394">
        <f>+'Table U1'!D34</f>
        <v>13.1810516</v>
      </c>
      <c r="D36" s="429">
        <f>+VLOOKUP(B36,'[2]Data C 2,4'!$A$2:$S$189,17,0)%</f>
        <v>0.19</v>
      </c>
      <c r="E36" s="426">
        <f>D36*TableC4!C36/(1000)</f>
        <v>1.016973018840025</v>
      </c>
      <c r="F36" s="425">
        <f>+D36*TableC4!D36/(1000)</f>
        <v>0.88452918330050156</v>
      </c>
      <c r="G36" s="427">
        <f t="shared" si="11"/>
        <v>0.13244383553952344</v>
      </c>
      <c r="H36" s="426">
        <f>D36*TableC4!N36/(1000)</f>
        <v>-0.75486710380315158</v>
      </c>
      <c r="I36" s="425">
        <f>+D36*TableC4!O36/(1000)</f>
        <v>-0.75541599047744834</v>
      </c>
      <c r="J36" s="424">
        <f t="shared" si="12"/>
        <v>5.4888667429675575E-4</v>
      </c>
      <c r="K36" s="61">
        <f t="shared" si="13"/>
        <v>7.7154164151821164E-2</v>
      </c>
      <c r="L36" s="38">
        <f t="shared" si="13"/>
        <v>6.7106116427046045E-2</v>
      </c>
      <c r="M36" s="354">
        <f t="shared" si="13"/>
        <v>1.0048047724775119E-2</v>
      </c>
      <c r="N36" s="61">
        <f t="shared" si="13"/>
        <v>-5.7269110744028316E-2</v>
      </c>
      <c r="O36" s="354">
        <f t="shared" si="13"/>
        <v>-5.7310752844442876E-2</v>
      </c>
      <c r="P36" s="54">
        <f t="shared" si="13"/>
        <v>4.1642100414564473E-5</v>
      </c>
      <c r="Q36" s="56"/>
      <c r="R36" s="56"/>
      <c r="S36" s="56"/>
      <c r="T36" s="56"/>
      <c r="U36" s="56"/>
      <c r="V36" s="56"/>
    </row>
    <row r="37" spans="1:22" x14ac:dyDescent="0.35">
      <c r="B37" s="297" t="s">
        <v>58</v>
      </c>
      <c r="C37" s="394">
        <f>+'Table U1'!D35</f>
        <v>7.4580846199999993</v>
      </c>
      <c r="D37" s="429">
        <f>+VLOOKUP(B37,'[2]Data C 2,4'!$A$2:$S$189,17,0)%</f>
        <v>0.21</v>
      </c>
      <c r="E37" s="426">
        <f>D37*TableC4!C37/(1000)</f>
        <v>0.72448644355137015</v>
      </c>
      <c r="F37" s="425">
        <f>+D37*TableC4!D37/(1000)</f>
        <v>0.65142607090926252</v>
      </c>
      <c r="G37" s="427">
        <f t="shared" si="11"/>
        <v>7.3060372642107629E-2</v>
      </c>
      <c r="H37" s="426">
        <f>D37*TableC4!N37/(1000)</f>
        <v>9.1788029247810418E-2</v>
      </c>
      <c r="I37" s="425">
        <f>+D37*TableC4!O37/(1000)</f>
        <v>1.0484960826783842E-3</v>
      </c>
      <c r="J37" s="424">
        <f t="shared" si="12"/>
        <v>9.073953316513203E-2</v>
      </c>
      <c r="K37" s="61">
        <f t="shared" si="13"/>
        <v>9.71410865476839E-2</v>
      </c>
      <c r="L37" s="38">
        <f t="shared" si="13"/>
        <v>8.7344955722594445E-2</v>
      </c>
      <c r="M37" s="354">
        <f t="shared" si="13"/>
        <v>9.7961308250894639E-3</v>
      </c>
      <c r="N37" s="61">
        <f t="shared" si="13"/>
        <v>1.2307185279403604E-2</v>
      </c>
      <c r="O37" s="354">
        <f t="shared" si="13"/>
        <v>1.4058516845822329E-4</v>
      </c>
      <c r="P37" s="54">
        <f t="shared" si="13"/>
        <v>1.2166600110945381E-2</v>
      </c>
      <c r="Q37" s="56"/>
      <c r="R37" s="56"/>
      <c r="S37" s="56"/>
      <c r="T37" s="56"/>
      <c r="U37" s="56"/>
      <c r="V37" s="56"/>
    </row>
    <row r="38" spans="1:22" x14ac:dyDescent="0.35">
      <c r="A38" s="253" t="s">
        <v>59</v>
      </c>
      <c r="B38" s="297" t="s">
        <v>293</v>
      </c>
      <c r="C38" s="394">
        <f>+'Table U1'!D36</f>
        <v>3.1883594799999999</v>
      </c>
      <c r="D38" s="429">
        <f>+VLOOKUP(B38,'[2]Data C 2,4'!$A$2:$S$189,17,0)%</f>
        <v>0.21</v>
      </c>
      <c r="E38" s="426">
        <f>D38*TableC4!C38/(1000)</f>
        <v>0.22035942219055049</v>
      </c>
      <c r="F38" s="425">
        <f>+D38*TableC4!D38/(1000)</f>
        <v>0.18841301498980606</v>
      </c>
      <c r="G38" s="427">
        <f t="shared" si="11"/>
        <v>3.1946407200744431E-2</v>
      </c>
      <c r="H38" s="426">
        <f>D38*TableC4!N38/(1000)</f>
        <v>2.969053422790275E-2</v>
      </c>
      <c r="I38" s="425">
        <f>+D38*TableC4!O38/(1000)</f>
        <v>2.8520019773297177E-2</v>
      </c>
      <c r="J38" s="424">
        <f t="shared" si="12"/>
        <v>1.1705144546055729E-3</v>
      </c>
      <c r="K38" s="61">
        <f t="shared" si="13"/>
        <v>6.9113731865188086E-2</v>
      </c>
      <c r="L38" s="38">
        <f t="shared" si="13"/>
        <v>5.9094031326042969E-2</v>
      </c>
      <c r="M38" s="354">
        <f t="shared" si="13"/>
        <v>1.0019700539145113E-2</v>
      </c>
      <c r="N38" s="61">
        <f t="shared" si="13"/>
        <v>9.3121664649629624E-3</v>
      </c>
      <c r="O38" s="354">
        <f t="shared" si="13"/>
        <v>8.9450452347666822E-3</v>
      </c>
      <c r="P38" s="54">
        <f t="shared" si="13"/>
        <v>3.6712123019628042E-4</v>
      </c>
      <c r="Q38" s="56"/>
      <c r="R38" s="56"/>
      <c r="S38" s="56"/>
      <c r="T38" s="56"/>
      <c r="U38" s="56"/>
      <c r="V38" s="56"/>
    </row>
    <row r="39" spans="1:22" x14ac:dyDescent="0.35">
      <c r="B39" s="297" t="s">
        <v>60</v>
      </c>
      <c r="C39" s="394">
        <f>+'Table U1'!D37</f>
        <v>1.06746403</v>
      </c>
      <c r="D39" s="429">
        <f>+VLOOKUP(B39,'[2]Data C 2,4'!$A$2:$S$189,17,0)%</f>
        <v>0.19</v>
      </c>
      <c r="E39" s="426">
        <f>D39*TableC4!C39/(1000)</f>
        <v>7.8739423595931085E-2</v>
      </c>
      <c r="F39" s="425">
        <f>+D39*TableC4!D39/(1000)</f>
        <v>6.2174912083938216E-2</v>
      </c>
      <c r="G39" s="427">
        <f t="shared" si="11"/>
        <v>1.6564511511992869E-2</v>
      </c>
      <c r="H39" s="426">
        <f>D39*TableC4!N39/(1000)</f>
        <v>-2.1079528952216448E-3</v>
      </c>
      <c r="I39" s="425">
        <f>+D39*TableC4!O39/(1000)</f>
        <v>-2.2650916613829474E-3</v>
      </c>
      <c r="J39" s="424">
        <f t="shared" si="12"/>
        <v>1.5713876616130261E-4</v>
      </c>
      <c r="K39" s="61">
        <f t="shared" si="13"/>
        <v>7.3763069652034163E-2</v>
      </c>
      <c r="L39" s="38">
        <f t="shared" si="13"/>
        <v>5.8245439974158396E-2</v>
      </c>
      <c r="M39" s="354">
        <f t="shared" si="13"/>
        <v>1.5517629677875767E-2</v>
      </c>
      <c r="N39" s="61">
        <f t="shared" si="13"/>
        <v>-1.9747296733002282E-3</v>
      </c>
      <c r="O39" s="354">
        <f t="shared" si="13"/>
        <v>-2.121937224791497E-3</v>
      </c>
      <c r="P39" s="54">
        <f t="shared" si="13"/>
        <v>1.4720755149126908E-4</v>
      </c>
      <c r="Q39" s="56"/>
      <c r="R39" s="56"/>
      <c r="S39" s="56"/>
      <c r="T39" s="56"/>
      <c r="U39" s="56"/>
      <c r="V39" s="56"/>
    </row>
    <row r="40" spans="1:22" x14ac:dyDescent="0.35">
      <c r="B40" s="297" t="s">
        <v>61</v>
      </c>
      <c r="C40" s="394">
        <f>+'Table U1'!D38</f>
        <v>28.790653730000002</v>
      </c>
      <c r="D40" s="429">
        <f>+VLOOKUP(B40,'[2]Data C 2,4'!$A$2:$S$189,17,0)%</f>
        <v>0.25</v>
      </c>
      <c r="E40" s="426">
        <f>D40*TableC4!C40/(1000)</f>
        <v>5.2715917652913991</v>
      </c>
      <c r="F40" s="425">
        <f>+D40*TableC4!D40/(1000)</f>
        <v>4.4293095447747213</v>
      </c>
      <c r="G40" s="427">
        <f t="shared" si="11"/>
        <v>0.84228222051667778</v>
      </c>
      <c r="H40" s="426">
        <f>D40*TableC4!N40/(1000)</f>
        <v>1.2184286072089516</v>
      </c>
      <c r="I40" s="425">
        <f>+D40*TableC4!O40/(1000)</f>
        <v>0.43348792044170875</v>
      </c>
      <c r="J40" s="424">
        <f t="shared" si="12"/>
        <v>0.78494068676724282</v>
      </c>
      <c r="K40" s="61">
        <f t="shared" si="13"/>
        <v>0.18310080120891367</v>
      </c>
      <c r="L40" s="38">
        <f t="shared" si="13"/>
        <v>0.15384539671495404</v>
      </c>
      <c r="M40" s="354">
        <f t="shared" si="13"/>
        <v>2.9255404493959636E-2</v>
      </c>
      <c r="N40" s="61">
        <f t="shared" si="13"/>
        <v>4.2320282777717655E-2</v>
      </c>
      <c r="O40" s="354">
        <f t="shared" si="13"/>
        <v>1.5056550105008981E-2</v>
      </c>
      <c r="P40" s="54">
        <f t="shared" si="13"/>
        <v>2.7263732672708669E-2</v>
      </c>
      <c r="Q40" s="56"/>
      <c r="R40" s="56"/>
      <c r="S40" s="56"/>
      <c r="T40" s="56"/>
      <c r="U40" s="56"/>
      <c r="V40" s="56"/>
    </row>
    <row r="41" spans="1:22" s="318" customFormat="1" x14ac:dyDescent="0.35">
      <c r="B41" s="317" t="s">
        <v>62</v>
      </c>
      <c r="C41" s="394">
        <f>+'Table U1'!D39</f>
        <v>16.0662123</v>
      </c>
      <c r="D41" s="429">
        <f>+VLOOKUP(B41,'[2]Data C 2,4'!$A$2:$S$189,17,0)%</f>
        <v>0.214</v>
      </c>
      <c r="E41" s="426">
        <f>D41*TableC4!C41/(1000)</f>
        <v>2.689822840480367</v>
      </c>
      <c r="F41" s="425">
        <f>+D41*TableC4!D41/(1000)</f>
        <v>2.2727172075986899</v>
      </c>
      <c r="G41" s="427">
        <f t="shared" si="11"/>
        <v>0.41710563288167712</v>
      </c>
      <c r="H41" s="426">
        <f>D41*TableC4!N41/(1000)</f>
        <v>3.1904668930228861</v>
      </c>
      <c r="I41" s="425">
        <f>+D41*TableC4!O41/(1000)</f>
        <v>2.2666539140403255</v>
      </c>
      <c r="J41" s="424">
        <f t="shared" si="12"/>
        <v>0.92381297898256065</v>
      </c>
      <c r="K41" s="61">
        <f t="shared" si="13"/>
        <v>0.1674210940484315</v>
      </c>
      <c r="L41" s="38">
        <f t="shared" si="13"/>
        <v>0.14145942834321254</v>
      </c>
      <c r="M41" s="354">
        <f t="shared" si="13"/>
        <v>2.5961665705218965E-2</v>
      </c>
      <c r="N41" s="61">
        <f t="shared" si="13"/>
        <v>0.19858239350060661</v>
      </c>
      <c r="O41" s="354">
        <f t="shared" si="13"/>
        <v>0.14108203425398066</v>
      </c>
      <c r="P41" s="54">
        <f t="shared" si="13"/>
        <v>5.7500359246625957E-2</v>
      </c>
      <c r="Q41" s="56"/>
      <c r="R41" s="56"/>
      <c r="S41" s="56"/>
      <c r="T41" s="56"/>
      <c r="U41" s="56"/>
      <c r="V41" s="56"/>
    </row>
    <row r="42" spans="1:22" x14ac:dyDescent="0.35">
      <c r="B42" s="297" t="s">
        <v>63</v>
      </c>
      <c r="C42" s="394">
        <f>+'Table U1'!D40</f>
        <v>22.74218106</v>
      </c>
      <c r="D42" s="429"/>
      <c r="E42" s="426">
        <f>D42*TableC4!C42/(1000)</f>
        <v>0</v>
      </c>
      <c r="F42" s="425">
        <f>+D42*TableC4!D42/(1000)</f>
        <v>0</v>
      </c>
      <c r="G42" s="427">
        <f t="shared" si="11"/>
        <v>0</v>
      </c>
      <c r="H42" s="426">
        <f>D42*TableC4!N42/(1000)</f>
        <v>0</v>
      </c>
      <c r="I42" s="425">
        <f>+D42*TableC4!O42/(1000)</f>
        <v>0</v>
      </c>
      <c r="J42" s="424">
        <f t="shared" si="12"/>
        <v>0</v>
      </c>
      <c r="K42" s="61"/>
      <c r="L42" s="38"/>
      <c r="M42" s="354"/>
      <c r="N42" s="61"/>
      <c r="O42" s="354"/>
      <c r="P42" s="54"/>
      <c r="Q42" s="56"/>
      <c r="R42" s="56"/>
      <c r="S42" s="56"/>
      <c r="T42" s="56"/>
      <c r="U42" s="56"/>
      <c r="V42" s="56"/>
    </row>
    <row r="43" spans="1:22" x14ac:dyDescent="0.35">
      <c r="B43" s="297" t="s">
        <v>64</v>
      </c>
      <c r="C43" s="394">
        <f>+'Table U1'!D41</f>
        <v>16.29379977</v>
      </c>
      <c r="D43" s="429">
        <f>+VLOOKUP(B43,'[2]Data C 2,4'!$A$2:$S$189,17,0)%</f>
        <v>0.22</v>
      </c>
      <c r="E43" s="426">
        <f>D43*TableC4!C43/(1000)</f>
        <v>1.2612615187794789</v>
      </c>
      <c r="F43" s="425">
        <f>+D43*TableC4!D43/(1000)</f>
        <v>0.38482640671030816</v>
      </c>
      <c r="G43" s="427">
        <f t="shared" si="11"/>
        <v>0.87643511206917069</v>
      </c>
      <c r="H43" s="426">
        <f>D43*TableC4!N43/(1000)</f>
        <v>0.16190383251157534</v>
      </c>
      <c r="I43" s="425">
        <f>+D43*TableC4!O43/(1000)</f>
        <v>0.15514638324174557</v>
      </c>
      <c r="J43" s="424">
        <f t="shared" si="12"/>
        <v>6.7574492698297683E-3</v>
      </c>
      <c r="K43" s="61">
        <f t="shared" ref="K43:K53" si="14">+E43/$C43</f>
        <v>7.7407451704525204E-2</v>
      </c>
      <c r="L43" s="38">
        <f t="shared" ref="L43:L53" si="15">+F43/$C43</f>
        <v>2.3617965860783876E-2</v>
      </c>
      <c r="M43" s="354">
        <f t="shared" ref="M43:M53" si="16">+G43/$C43</f>
        <v>5.3789485843741325E-2</v>
      </c>
      <c r="N43" s="61">
        <f t="shared" ref="N43:N53" si="17">+H43/$C43</f>
        <v>9.9365301401132498E-3</v>
      </c>
      <c r="O43" s="354">
        <f t="shared" ref="O43:O53" si="18">+I43/$C43</f>
        <v>9.5218049461611599E-3</v>
      </c>
      <c r="P43" s="54">
        <f t="shared" ref="P43:P53" si="19">+J43/$C43</f>
        <v>4.1472519395208997E-4</v>
      </c>
      <c r="Q43" s="56"/>
      <c r="R43" s="56"/>
      <c r="S43" s="56"/>
      <c r="T43" s="56"/>
      <c r="U43" s="56"/>
      <c r="V43" s="56"/>
    </row>
    <row r="44" spans="1:22" x14ac:dyDescent="0.35">
      <c r="B44" s="297" t="s">
        <v>65</v>
      </c>
      <c r="C44" s="394">
        <f>+'Table U1'!D42</f>
        <v>65.100932419999992</v>
      </c>
      <c r="D44" s="429">
        <f>+VLOOKUP(B44,'[2]Data C 2,4'!$A$2:$S$189,17,0)%</f>
        <v>0.19</v>
      </c>
      <c r="E44" s="426">
        <f>D44*TableC4!C44/(1000)</f>
        <v>20.826362099278963</v>
      </c>
      <c r="F44" s="425">
        <f>+D44*TableC4!D44/(1000)</f>
        <v>15.809936781308117</v>
      </c>
      <c r="G44" s="427">
        <f t="shared" si="11"/>
        <v>5.016425317970846</v>
      </c>
      <c r="H44" s="426">
        <f>D44*TableC4!N44/(1000)</f>
        <v>16.271617327731715</v>
      </c>
      <c r="I44" s="425">
        <f>+D44*TableC4!O44/(1000)</f>
        <v>11.589079539793168</v>
      </c>
      <c r="J44" s="424">
        <f t="shared" si="12"/>
        <v>4.6825377879385464</v>
      </c>
      <c r="K44" s="61">
        <f t="shared" si="14"/>
        <v>0.3199088142842143</v>
      </c>
      <c r="L44" s="38">
        <f t="shared" si="15"/>
        <v>0.24285269340398979</v>
      </c>
      <c r="M44" s="354">
        <f t="shared" si="16"/>
        <v>7.705612088022451E-2</v>
      </c>
      <c r="N44" s="61">
        <f t="shared" si="17"/>
        <v>0.24994445890198691</v>
      </c>
      <c r="O44" s="354">
        <f t="shared" si="18"/>
        <v>0.17801710527010559</v>
      </c>
      <c r="P44" s="54">
        <f t="shared" si="19"/>
        <v>7.1927353631881311E-2</v>
      </c>
      <c r="Q44" s="56"/>
      <c r="R44" s="56"/>
      <c r="S44" s="56"/>
      <c r="T44" s="56"/>
      <c r="U44" s="56"/>
      <c r="V44" s="56"/>
    </row>
    <row r="45" spans="1:22" x14ac:dyDescent="0.35">
      <c r="B45" s="297" t="s">
        <v>66</v>
      </c>
      <c r="C45" s="394">
        <f>+'Table U1'!D43</f>
        <v>286.81979999999999</v>
      </c>
      <c r="D45" s="429">
        <f>+VLOOKUP(B45,'[2]Data C 2,4'!$A$2:$S$189,17,0)%</f>
        <v>0.27</v>
      </c>
      <c r="E45" s="426">
        <f>D45*TableC4!C45/(1000)</f>
        <v>44.627452755545889</v>
      </c>
      <c r="F45" s="425">
        <f>+D45*TableC4!D45/(1000)</f>
        <v>12.593747379861329</v>
      </c>
      <c r="G45" s="427">
        <f t="shared" si="11"/>
        <v>32.033705375684562</v>
      </c>
      <c r="H45" s="426">
        <f>D45*TableC4!N45/(1000)</f>
        <v>129.6490384550612</v>
      </c>
      <c r="I45" s="425">
        <f>+D45*TableC4!O45/(1000)</f>
        <v>72.858973361989257</v>
      </c>
      <c r="J45" s="424">
        <f t="shared" si="12"/>
        <v>56.790065093071945</v>
      </c>
      <c r="K45" s="61">
        <f t="shared" si="14"/>
        <v>0.15559404460761039</v>
      </c>
      <c r="L45" s="38">
        <f t="shared" si="15"/>
        <v>4.3908221747108567E-2</v>
      </c>
      <c r="M45" s="354">
        <f t="shared" si="16"/>
        <v>0.11168582286050183</v>
      </c>
      <c r="N45" s="61">
        <f t="shared" si="17"/>
        <v>0.45202262345577682</v>
      </c>
      <c r="O45" s="354">
        <f t="shared" si="18"/>
        <v>0.25402351358584468</v>
      </c>
      <c r="P45" s="54">
        <f t="shared" si="19"/>
        <v>0.19799910986993208</v>
      </c>
      <c r="Q45" s="56"/>
      <c r="R45" s="56"/>
      <c r="S45" s="56"/>
      <c r="T45" s="56"/>
      <c r="U45" s="56"/>
      <c r="V45" s="56"/>
    </row>
    <row r="46" spans="1:22" ht="46.5" x14ac:dyDescent="0.35">
      <c r="B46" s="307" t="s">
        <v>67</v>
      </c>
      <c r="C46" s="434">
        <f>SUM(C47:C53)</f>
        <v>787.13963766636698</v>
      </c>
      <c r="D46" s="433"/>
      <c r="E46" s="432">
        <f>F46+G46</f>
        <v>45.620821854763449</v>
      </c>
      <c r="F46" s="431">
        <f>SUM(F47:F53)</f>
        <v>7.6479952603453132</v>
      </c>
      <c r="G46" s="430">
        <f>SUM(G47:G53)</f>
        <v>37.972826594418137</v>
      </c>
      <c r="H46" s="432">
        <f>I46+J46</f>
        <v>26.47633734018202</v>
      </c>
      <c r="I46" s="431">
        <f>SUM(I47:I53)</f>
        <v>3.4926200946458623</v>
      </c>
      <c r="J46" s="430">
        <f>SUM(J47:J53)</f>
        <v>22.983717245536159</v>
      </c>
      <c r="K46" s="43">
        <f t="shared" si="14"/>
        <v>5.7957723981497754E-2</v>
      </c>
      <c r="L46" s="42">
        <f t="shared" si="15"/>
        <v>9.716186168720109E-3</v>
      </c>
      <c r="M46" s="357">
        <f t="shared" si="16"/>
        <v>4.8241537812777645E-2</v>
      </c>
      <c r="N46" s="43">
        <f t="shared" si="17"/>
        <v>3.3636137825146781E-2</v>
      </c>
      <c r="O46" s="357">
        <f t="shared" si="18"/>
        <v>4.4371035677995248E-3</v>
      </c>
      <c r="P46" s="350">
        <f t="shared" si="19"/>
        <v>2.919903425734726E-2</v>
      </c>
      <c r="Q46" s="42"/>
      <c r="R46" s="42"/>
      <c r="S46" s="42"/>
      <c r="T46" s="42"/>
      <c r="U46" s="42"/>
      <c r="V46" s="42"/>
    </row>
    <row r="47" spans="1:22" x14ac:dyDescent="0.35">
      <c r="B47" s="311" t="s">
        <v>68</v>
      </c>
      <c r="C47" s="394">
        <f>+'Table U1'!D45</f>
        <v>52.606450000000002</v>
      </c>
      <c r="D47" s="429">
        <f>+VLOOKUP(B47,'[2]Data C 2,4'!$A$2:$S$189,17,0)%</f>
        <v>0.34</v>
      </c>
      <c r="E47" s="426">
        <f>D47*TableC4!C47/(1000)</f>
        <v>9.1177444871089879</v>
      </c>
      <c r="F47" s="425">
        <f>+D47*TableC4!D47/(1000)</f>
        <v>2.3180457252568916</v>
      </c>
      <c r="G47" s="427">
        <f t="shared" ref="G47:G102" si="20">+E47-F47</f>
        <v>6.7996987618520963</v>
      </c>
      <c r="H47" s="426">
        <f>D47*TableC4!N47/(1000)</f>
        <v>3.6220221752638846</v>
      </c>
      <c r="I47" s="425">
        <f>+D47*TableC4!O47/(1000)</f>
        <v>3.4633171723599641</v>
      </c>
      <c r="J47" s="424">
        <f t="shared" ref="J47:J102" si="21">+H47-I47</f>
        <v>0.15870500290392053</v>
      </c>
      <c r="K47" s="61">
        <f t="shared" si="14"/>
        <v>0.17331989683981694</v>
      </c>
      <c r="L47" s="38">
        <f t="shared" si="15"/>
        <v>4.406390709232217E-2</v>
      </c>
      <c r="M47" s="354">
        <f t="shared" si="16"/>
        <v>0.12925598974749478</v>
      </c>
      <c r="N47" s="61">
        <f t="shared" si="17"/>
        <v>6.8851294380515779E-2</v>
      </c>
      <c r="O47" s="354">
        <f t="shared" si="18"/>
        <v>6.5834458937258908E-2</v>
      </c>
      <c r="P47" s="54">
        <f t="shared" si="19"/>
        <v>3.0168354432568729E-3</v>
      </c>
      <c r="Q47" s="56"/>
      <c r="R47" s="56"/>
      <c r="S47" s="56"/>
      <c r="T47" s="56"/>
      <c r="U47" s="56"/>
      <c r="V47" s="56"/>
    </row>
    <row r="48" spans="1:22" x14ac:dyDescent="0.35">
      <c r="A48" s="343" t="s">
        <v>69</v>
      </c>
      <c r="B48" s="297" t="s">
        <v>70</v>
      </c>
      <c r="C48" s="394">
        <f>+'Table U1'!D46</f>
        <v>537.69146999999998</v>
      </c>
      <c r="D48" s="429">
        <f>+VLOOKUP(B48,'[2]Data C 2,4'!$A$2:$S$189,17,0)%</f>
        <v>0.25</v>
      </c>
      <c r="E48" s="426">
        <f>D48*TableC4!C48/(1000)</f>
        <v>23.173328475408404</v>
      </c>
      <c r="F48" s="425">
        <f>+D48*TableC4!D48/(1000)</f>
        <v>1.8823469125077801</v>
      </c>
      <c r="G48" s="427">
        <f t="shared" si="20"/>
        <v>21.290981562900622</v>
      </c>
      <c r="H48" s="426">
        <f>D48*TableC4!N48/(1000)</f>
        <v>17.89095377450537</v>
      </c>
      <c r="I48" s="425">
        <f>+D48*TableC4!O48/(1000)</f>
        <v>2.5273454753406079E-3</v>
      </c>
      <c r="J48" s="424">
        <f t="shared" si="21"/>
        <v>17.88842642903003</v>
      </c>
      <c r="K48" s="61">
        <f t="shared" si="14"/>
        <v>4.3097816811950553E-2</v>
      </c>
      <c r="L48" s="38">
        <f t="shared" si="15"/>
        <v>3.5007937033254034E-3</v>
      </c>
      <c r="M48" s="354">
        <f t="shared" si="16"/>
        <v>3.9597023108625146E-2</v>
      </c>
      <c r="N48" s="61">
        <f t="shared" si="17"/>
        <v>3.3273642549146949E-2</v>
      </c>
      <c r="O48" s="354">
        <f t="shared" si="18"/>
        <v>4.7003637147909528E-6</v>
      </c>
      <c r="P48" s="54">
        <f t="shared" si="19"/>
        <v>3.3268942185432158E-2</v>
      </c>
      <c r="Q48" s="56"/>
      <c r="R48" s="56"/>
      <c r="S48" s="56"/>
      <c r="T48" s="56"/>
      <c r="U48" s="56"/>
      <c r="V48" s="56"/>
    </row>
    <row r="49" spans="1:22" x14ac:dyDescent="0.35">
      <c r="B49" s="297" t="s">
        <v>71</v>
      </c>
      <c r="C49" s="394">
        <f>+'Table U1'!D47</f>
        <v>16.464157666366908</v>
      </c>
      <c r="D49" s="429">
        <f>+VLOOKUP(B49,'[2]Data C 2,4'!$A$2:$S$189,17,0)%</f>
        <v>0.33</v>
      </c>
      <c r="E49" s="426">
        <f>D49*TableC4!C49/(1000)</f>
        <v>0.74209175404937711</v>
      </c>
      <c r="F49" s="425">
        <f>+D49*TableC4!D49/(1000)</f>
        <v>0.20406858319487309</v>
      </c>
      <c r="G49" s="427">
        <f t="shared" si="20"/>
        <v>0.53802317085450402</v>
      </c>
      <c r="H49" s="426">
        <f>D49*TableC4!N49/(1000)</f>
        <v>0.51829921961474001</v>
      </c>
      <c r="I49" s="425">
        <f>+D49*TableC4!O49/(1000)</f>
        <v>-1.5293974233465148E-3</v>
      </c>
      <c r="J49" s="424">
        <f t="shared" si="21"/>
        <v>0.51982861703808658</v>
      </c>
      <c r="K49" s="61">
        <f t="shared" si="14"/>
        <v>4.5073168581550159E-2</v>
      </c>
      <c r="L49" s="38">
        <f t="shared" si="15"/>
        <v>1.2394717502720819E-2</v>
      </c>
      <c r="M49" s="354">
        <f t="shared" si="16"/>
        <v>3.2678451078829336E-2</v>
      </c>
      <c r="N49" s="61">
        <f t="shared" si="17"/>
        <v>3.1480457738419572E-2</v>
      </c>
      <c r="O49" s="354">
        <f t="shared" si="18"/>
        <v>-9.289253992451603E-5</v>
      </c>
      <c r="P49" s="54">
        <f t="shared" si="19"/>
        <v>3.1573350278344091E-2</v>
      </c>
      <c r="Q49" s="56"/>
      <c r="R49" s="56"/>
      <c r="S49" s="56"/>
      <c r="T49" s="56"/>
      <c r="U49" s="56"/>
      <c r="V49" s="56"/>
    </row>
    <row r="50" spans="1:22" x14ac:dyDescent="0.35">
      <c r="B50" s="297" t="s">
        <v>72</v>
      </c>
      <c r="C50" s="394">
        <f>+'Table U1'!D48</f>
        <v>1.8016300000000001</v>
      </c>
      <c r="D50" s="429">
        <f>+VLOOKUP(B50,'[2]Data C 2,4'!$A$2:$S$189,17,0)%</f>
        <v>0.3</v>
      </c>
      <c r="E50" s="426">
        <f>D50*TableC4!C50/(1000)</f>
        <v>0.58363935910250742</v>
      </c>
      <c r="F50" s="425">
        <f>+D50*TableC4!D50/(1000)</f>
        <v>0.16049559432362012</v>
      </c>
      <c r="G50" s="427">
        <f t="shared" si="20"/>
        <v>0.42314376477888727</v>
      </c>
      <c r="H50" s="426">
        <f>D50*TableC4!N50/(1000)</f>
        <v>5.6226786494988794E-2</v>
      </c>
      <c r="I50" s="425">
        <f>+D50*TableC4!O50/(1000)</f>
        <v>-6.9631655988686191E-4</v>
      </c>
      <c r="J50" s="424">
        <f t="shared" si="21"/>
        <v>5.6923103054875655E-2</v>
      </c>
      <c r="K50" s="61">
        <f t="shared" si="14"/>
        <v>0.32395073300428356</v>
      </c>
      <c r="L50" s="38">
        <f t="shared" si="15"/>
        <v>8.9083548966003068E-2</v>
      </c>
      <c r="M50" s="354">
        <f t="shared" si="16"/>
        <v>0.23486718403828047</v>
      </c>
      <c r="N50" s="61">
        <f t="shared" si="17"/>
        <v>3.1208842267829016E-2</v>
      </c>
      <c r="O50" s="354">
        <f t="shared" si="18"/>
        <v>-3.8649254280116442E-4</v>
      </c>
      <c r="P50" s="54">
        <f t="shared" si="19"/>
        <v>3.1595334810630184E-2</v>
      </c>
      <c r="Q50" s="56"/>
      <c r="R50" s="56"/>
      <c r="S50" s="56"/>
      <c r="T50" s="56"/>
      <c r="U50" s="56"/>
      <c r="V50" s="56"/>
    </row>
    <row r="51" spans="1:22" x14ac:dyDescent="0.35">
      <c r="B51" s="297" t="s">
        <v>73</v>
      </c>
      <c r="C51" s="394">
        <f>+'Table U1'!D49</f>
        <v>90.875349999999997</v>
      </c>
      <c r="D51" s="429">
        <f>+VLOOKUP(B51,'[2]Data C 2,4'!$A$2:$S$189,17,0)%</f>
        <v>0.3</v>
      </c>
      <c r="E51" s="426">
        <f>D51*TableC4!C51/(1000)</f>
        <v>5.7185307506189336</v>
      </c>
      <c r="F51" s="425">
        <f>+D51*TableC4!D51/(1000)</f>
        <v>1.3520346953994702</v>
      </c>
      <c r="G51" s="427">
        <f t="shared" si="20"/>
        <v>4.3664960552194634</v>
      </c>
      <c r="H51" s="426">
        <f>D51*TableC4!N51/(1000)</f>
        <v>2.2059073003385015</v>
      </c>
      <c r="I51" s="425">
        <f>+D51*TableC4!O51/(1000)</f>
        <v>1.3595480981553776E-2</v>
      </c>
      <c r="J51" s="424">
        <f t="shared" si="21"/>
        <v>2.1923118193569477</v>
      </c>
      <c r="K51" s="61">
        <f t="shared" si="14"/>
        <v>6.2927193684744365E-2</v>
      </c>
      <c r="L51" s="38">
        <f t="shared" si="15"/>
        <v>1.4877903583309118E-2</v>
      </c>
      <c r="M51" s="354">
        <f t="shared" si="16"/>
        <v>4.8049290101435244E-2</v>
      </c>
      <c r="N51" s="61">
        <f t="shared" si="17"/>
        <v>2.4273989594961687E-2</v>
      </c>
      <c r="O51" s="354">
        <f t="shared" si="18"/>
        <v>1.4960581699606962E-4</v>
      </c>
      <c r="P51" s="54">
        <f t="shared" si="19"/>
        <v>2.4124383777965618E-2</v>
      </c>
      <c r="Q51" s="56"/>
      <c r="R51" s="56"/>
      <c r="S51" s="56"/>
      <c r="T51" s="56"/>
      <c r="U51" s="56"/>
      <c r="V51" s="56"/>
    </row>
    <row r="52" spans="1:22" x14ac:dyDescent="0.35">
      <c r="A52" s="343" t="s">
        <v>75</v>
      </c>
      <c r="B52" s="297" t="s">
        <v>74</v>
      </c>
      <c r="C52" s="394">
        <f>+'Table U1'!D50</f>
        <v>70.846710000000002</v>
      </c>
      <c r="D52" s="429">
        <f>+VLOOKUP(B52,'[2]Data C 2,4'!$A$2:$S$189,17,0)%</f>
        <v>0.2</v>
      </c>
      <c r="E52" s="426">
        <f>D52*TableC4!C52/(1000)</f>
        <v>4.0686277022522024</v>
      </c>
      <c r="F52" s="425">
        <f>+D52*TableC4!D52/(1000)</f>
        <v>1.1947355143833112</v>
      </c>
      <c r="G52" s="427">
        <f t="shared" si="20"/>
        <v>2.8738921878688912</v>
      </c>
      <c r="H52" s="426">
        <f>D52*TableC4!N52/(1000)</f>
        <v>0.2373891011124542</v>
      </c>
      <c r="I52" s="425">
        <f>+D52*TableC4!O52/(1000)</f>
        <v>0.22573908680062973</v>
      </c>
      <c r="J52" s="424">
        <f t="shared" si="21"/>
        <v>1.1650014311824469E-2</v>
      </c>
      <c r="K52" s="61">
        <f t="shared" si="14"/>
        <v>5.7428604691060495E-2</v>
      </c>
      <c r="L52" s="38">
        <f t="shared" si="15"/>
        <v>1.686366966628812E-2</v>
      </c>
      <c r="M52" s="354">
        <f t="shared" si="16"/>
        <v>4.0564935024772375E-2</v>
      </c>
      <c r="N52" s="61">
        <f t="shared" si="17"/>
        <v>3.3507427672005404E-3</v>
      </c>
      <c r="O52" s="354">
        <f t="shared" si="18"/>
        <v>3.1863030308765181E-3</v>
      </c>
      <c r="P52" s="54">
        <f t="shared" si="19"/>
        <v>1.6443973632402224E-4</v>
      </c>
      <c r="Q52" s="56"/>
      <c r="R52" s="56"/>
      <c r="S52" s="56"/>
      <c r="T52" s="56"/>
      <c r="U52" s="56"/>
      <c r="V52" s="56"/>
    </row>
    <row r="53" spans="1:22" x14ac:dyDescent="0.35">
      <c r="B53" s="297" t="s">
        <v>76</v>
      </c>
      <c r="C53" s="394">
        <f>+'Table U1'!D51</f>
        <v>16.853870000000001</v>
      </c>
      <c r="D53" s="429">
        <f>+VLOOKUP(B53,'[2]Data C 2,4'!$A$2:$S$189,17,0)%</f>
        <v>0.28000000000000003</v>
      </c>
      <c r="E53" s="426">
        <f>D53*TableC4!C53/(1000)</f>
        <v>2.2168593262230427</v>
      </c>
      <c r="F53" s="425">
        <f>+D53*TableC4!D53/(1000)</f>
        <v>0.53626823527936729</v>
      </c>
      <c r="G53" s="427">
        <f t="shared" si="20"/>
        <v>1.6805910909436754</v>
      </c>
      <c r="H53" s="426">
        <f>D53*TableC4!N53/(1000)</f>
        <v>1.9455389828520802</v>
      </c>
      <c r="I53" s="425">
        <f>+D53*TableC4!O53/(1000)</f>
        <v>-0.21033327698839258</v>
      </c>
      <c r="J53" s="424">
        <f t="shared" si="21"/>
        <v>2.1558722598404727</v>
      </c>
      <c r="K53" s="61">
        <f t="shared" si="14"/>
        <v>0.13153414178601369</v>
      </c>
      <c r="L53" s="38">
        <f t="shared" si="15"/>
        <v>3.1818700113348877E-2</v>
      </c>
      <c r="M53" s="354">
        <f t="shared" si="16"/>
        <v>9.9715441672664815E-2</v>
      </c>
      <c r="N53" s="61">
        <f t="shared" si="17"/>
        <v>0.11543574163394402</v>
      </c>
      <c r="O53" s="354">
        <f t="shared" si="18"/>
        <v>-1.2479820776379109E-2</v>
      </c>
      <c r="P53" s="54">
        <f t="shared" si="19"/>
        <v>0.12791556241032312</v>
      </c>
      <c r="Q53" s="56"/>
      <c r="R53" s="56"/>
      <c r="S53" s="56"/>
      <c r="T53" s="56"/>
      <c r="U53" s="56"/>
      <c r="V53" s="56"/>
    </row>
    <row r="54" spans="1:22" ht="40" hidden="1" customHeight="1" x14ac:dyDescent="0.35">
      <c r="B54" s="307" t="s">
        <v>77</v>
      </c>
      <c r="C54" s="305"/>
      <c r="D54" s="429" t="e">
        <f>+VLOOKUP(B54,'[2]Data C 2,4'!$A$2:$S$189,16,0)%</f>
        <v>#N/A</v>
      </c>
      <c r="E54" s="426" t="e">
        <f>D54*TableC4!C54/(1000)</f>
        <v>#N/A</v>
      </c>
      <c r="F54" s="425" t="e">
        <f>+D54*TableC4!D54/(1000)</f>
        <v>#N/A</v>
      </c>
      <c r="G54" s="427" t="e">
        <f t="shared" si="20"/>
        <v>#N/A</v>
      </c>
      <c r="H54" s="426" t="e">
        <f>D54*TableC4!N54/(1000)</f>
        <v>#N/A</v>
      </c>
      <c r="I54" s="425" t="e">
        <f>+D54*TableC4!O54/(1000)</f>
        <v>#N/A</v>
      </c>
      <c r="J54" s="424" t="e">
        <f t="shared" si="21"/>
        <v>#N/A</v>
      </c>
      <c r="K54" s="60"/>
      <c r="L54" s="55"/>
      <c r="M54" s="420"/>
      <c r="N54" s="60"/>
      <c r="O54" s="423"/>
      <c r="P54" s="419"/>
      <c r="Q54" s="42"/>
      <c r="R54" s="42"/>
      <c r="S54" s="42"/>
      <c r="T54" s="42"/>
      <c r="U54" s="42"/>
      <c r="V54" s="42"/>
    </row>
    <row r="55" spans="1:22" ht="14" hidden="1" customHeight="1" x14ac:dyDescent="0.35">
      <c r="B55" s="297" t="s">
        <v>78</v>
      </c>
      <c r="C55" s="387"/>
      <c r="D55" s="429">
        <f>+VLOOKUP(B55,'[2]Data C 2,4'!$A$2:$S$189,16,0)%</f>
        <v>0.1</v>
      </c>
      <c r="E55" s="426">
        <f>D55*TableC4!C55/(1000)</f>
        <v>0</v>
      </c>
      <c r="F55" s="425">
        <f>+D55*TableC4!D55/(1000)</f>
        <v>0</v>
      </c>
      <c r="G55" s="427">
        <f t="shared" si="20"/>
        <v>0</v>
      </c>
      <c r="H55" s="426">
        <f>D55*TableC4!N55/(1000)</f>
        <v>1.1598683591806546E-4</v>
      </c>
      <c r="I55" s="425">
        <f>+D55*TableC4!O55/(1000)</f>
        <v>3.4486008473265055E-6</v>
      </c>
      <c r="J55" s="424">
        <f t="shared" si="21"/>
        <v>1.1253823507073896E-4</v>
      </c>
      <c r="K55" s="353"/>
      <c r="L55" s="55"/>
      <c r="M55" s="354"/>
      <c r="N55" s="353"/>
      <c r="O55" s="423"/>
      <c r="P55" s="54"/>
      <c r="Q55" s="38"/>
      <c r="R55" s="38"/>
      <c r="S55" s="38"/>
      <c r="T55" s="38"/>
      <c r="U55" s="38"/>
      <c r="V55" s="38"/>
    </row>
    <row r="56" spans="1:22" ht="14" hidden="1" customHeight="1" x14ac:dyDescent="0.35">
      <c r="B56" s="297" t="s">
        <v>79</v>
      </c>
      <c r="C56" s="387"/>
      <c r="D56" s="429">
        <f>+VLOOKUP(B56,'[2]Data C 2,4'!$A$2:$S$189,16,0)%</f>
        <v>0</v>
      </c>
      <c r="E56" s="426">
        <f>D56*TableC4!C56/(1000)</f>
        <v>0</v>
      </c>
      <c r="F56" s="425">
        <f>+D56*TableC4!D56/(1000)</f>
        <v>0</v>
      </c>
      <c r="G56" s="427">
        <f t="shared" si="20"/>
        <v>0</v>
      </c>
      <c r="H56" s="426">
        <f>D56*TableC4!N56/(1000)</f>
        <v>0</v>
      </c>
      <c r="I56" s="425">
        <f>+D56*TableC4!O56/(1000)</f>
        <v>0</v>
      </c>
      <c r="J56" s="424">
        <f t="shared" si="21"/>
        <v>0</v>
      </c>
      <c r="K56" s="353"/>
      <c r="L56" s="55"/>
      <c r="M56" s="354"/>
      <c r="N56" s="353"/>
      <c r="O56" s="423"/>
      <c r="P56" s="54"/>
      <c r="Q56" s="38"/>
      <c r="R56" s="38"/>
      <c r="S56" s="38"/>
      <c r="T56" s="38"/>
      <c r="U56" s="38"/>
      <c r="V56" s="38"/>
    </row>
    <row r="57" spans="1:22" ht="14" hidden="1" customHeight="1" x14ac:dyDescent="0.35">
      <c r="B57" s="297" t="str">
        <f>+[3]TableA1!A56</f>
        <v>Antigua and Barbuda</v>
      </c>
      <c r="C57" s="387"/>
      <c r="D57" s="429">
        <f>+VLOOKUP(B57,'[2]Data C 2,4'!$A$2:$S$189,16,0)%</f>
        <v>0.25</v>
      </c>
      <c r="E57" s="426">
        <f>D57*TableC4!C57/(1000)</f>
        <v>0</v>
      </c>
      <c r="F57" s="425">
        <f>+D57*TableC4!D57/(1000)</f>
        <v>0</v>
      </c>
      <c r="G57" s="427">
        <f t="shared" si="20"/>
        <v>0</v>
      </c>
      <c r="H57" s="426">
        <f>D57*TableC4!N57/(1000)</f>
        <v>1.5875224109180703E-3</v>
      </c>
      <c r="I57" s="425">
        <f>+D57*TableC4!O57/(1000)</f>
        <v>3.3212411597266649E-6</v>
      </c>
      <c r="J57" s="424">
        <f t="shared" si="21"/>
        <v>1.5842011697583436E-3</v>
      </c>
      <c r="K57" s="353"/>
      <c r="L57" s="55"/>
      <c r="M57" s="354"/>
      <c r="N57" s="353"/>
      <c r="O57" s="423"/>
      <c r="P57" s="54"/>
      <c r="Q57" s="38"/>
      <c r="R57" s="38"/>
      <c r="S57" s="38"/>
      <c r="T57" s="38"/>
      <c r="U57" s="38"/>
      <c r="V57" s="38"/>
    </row>
    <row r="58" spans="1:22" ht="14" hidden="1" customHeight="1" x14ac:dyDescent="0.35">
      <c r="B58" s="297" t="s">
        <v>81</v>
      </c>
      <c r="C58" s="387"/>
      <c r="D58" s="429">
        <f>+VLOOKUP(B58,'[2]Data C 2,4'!$A$2:$S$189,16,0)%</f>
        <v>0.25</v>
      </c>
      <c r="E58" s="426">
        <f>D58*TableC4!C58/(1000)</f>
        <v>0</v>
      </c>
      <c r="F58" s="425">
        <f>+D58*TableC4!D58/(1000)</f>
        <v>0</v>
      </c>
      <c r="G58" s="427">
        <f t="shared" si="20"/>
        <v>0</v>
      </c>
      <c r="H58" s="426">
        <f>D58*TableC4!N58/(1000)</f>
        <v>1.4759528555242908E-2</v>
      </c>
      <c r="I58" s="425">
        <f>+D58*TableC4!O58/(1000)</f>
        <v>0</v>
      </c>
      <c r="J58" s="424">
        <f t="shared" si="21"/>
        <v>1.4759528555242908E-2</v>
      </c>
      <c r="K58" s="353"/>
      <c r="L58" s="55"/>
      <c r="M58" s="354"/>
      <c r="N58" s="353"/>
      <c r="O58" s="423"/>
      <c r="P58" s="54"/>
      <c r="Q58" s="38"/>
      <c r="R58" s="38"/>
      <c r="S58" s="38"/>
      <c r="T58" s="38"/>
      <c r="U58" s="38"/>
      <c r="V58" s="38"/>
    </row>
    <row r="59" spans="1:22" ht="14" hidden="1" customHeight="1" x14ac:dyDescent="0.35">
      <c r="A59" s="343" t="s">
        <v>82</v>
      </c>
      <c r="B59" s="297" t="s">
        <v>83</v>
      </c>
      <c r="C59" s="387"/>
      <c r="D59" s="429">
        <f>+VLOOKUP(B59,'[2]Data C 2,4'!$A$2:$S$189,16,0)%</f>
        <v>0</v>
      </c>
      <c r="E59" s="426">
        <f>D59*TableC4!C59/(1000)</f>
        <v>0</v>
      </c>
      <c r="F59" s="425">
        <f>+D59*TableC4!D59/(1000)</f>
        <v>0</v>
      </c>
      <c r="G59" s="427">
        <f t="shared" si="20"/>
        <v>0</v>
      </c>
      <c r="H59" s="426">
        <f>D59*TableC4!N59/(1000)</f>
        <v>0</v>
      </c>
      <c r="I59" s="425">
        <f>+D59*TableC4!O59/(1000)</f>
        <v>0</v>
      </c>
      <c r="J59" s="424">
        <f t="shared" si="21"/>
        <v>0</v>
      </c>
      <c r="K59" s="353"/>
      <c r="L59" s="55"/>
      <c r="M59" s="354"/>
      <c r="N59" s="353"/>
      <c r="O59" s="423"/>
      <c r="P59" s="54"/>
      <c r="Q59" s="38"/>
      <c r="R59" s="38"/>
      <c r="S59" s="38"/>
      <c r="T59" s="38"/>
      <c r="U59" s="38"/>
      <c r="V59" s="38"/>
    </row>
    <row r="60" spans="1:22" ht="14" hidden="1" customHeight="1" x14ac:dyDescent="0.35">
      <c r="A60" s="343" t="s">
        <v>84</v>
      </c>
      <c r="B60" s="297" t="s">
        <v>85</v>
      </c>
      <c r="C60" s="387"/>
      <c r="D60" s="429">
        <f>+VLOOKUP(B60,'[2]Data C 2,4'!$A$2:$S$189,16,0)%</f>
        <v>0</v>
      </c>
      <c r="E60" s="426">
        <f>D60*TableC4!C60/(1000)</f>
        <v>0</v>
      </c>
      <c r="F60" s="425">
        <f>+D60*TableC4!D60/(1000)</f>
        <v>0</v>
      </c>
      <c r="G60" s="427">
        <f t="shared" si="20"/>
        <v>0</v>
      </c>
      <c r="H60" s="426">
        <f>D60*TableC4!N60/(1000)</f>
        <v>0</v>
      </c>
      <c r="I60" s="425">
        <f>+D60*TableC4!O60/(1000)</f>
        <v>0</v>
      </c>
      <c r="J60" s="424">
        <f t="shared" si="21"/>
        <v>0</v>
      </c>
      <c r="K60" s="353"/>
      <c r="L60" s="55"/>
      <c r="M60" s="354"/>
      <c r="N60" s="353"/>
      <c r="O60" s="423"/>
      <c r="P60" s="54"/>
      <c r="Q60" s="38"/>
      <c r="R60" s="38"/>
      <c r="S60" s="38"/>
      <c r="T60" s="38"/>
      <c r="U60" s="38"/>
      <c r="V60" s="38"/>
    </row>
    <row r="61" spans="1:22" ht="14" hidden="1" customHeight="1" x14ac:dyDescent="0.35">
      <c r="B61" s="297" t="str">
        <f>+[3]TableA1!A60</f>
        <v>Barbados</v>
      </c>
      <c r="C61" s="387"/>
      <c r="D61" s="429">
        <f>+VLOOKUP(B61,'[2]Data C 2,4'!$A$2:$S$189,16,0)%</f>
        <v>0.25</v>
      </c>
      <c r="E61" s="426">
        <f>D61*TableC4!C61/(1000)</f>
        <v>0</v>
      </c>
      <c r="F61" s="425">
        <f>+D61*TableC4!D61/(1000)</f>
        <v>0</v>
      </c>
      <c r="G61" s="427">
        <f t="shared" si="20"/>
        <v>0</v>
      </c>
      <c r="H61" s="426">
        <f>D61*TableC4!N61/(1000)</f>
        <v>2.5878386066256968E-2</v>
      </c>
      <c r="I61" s="425">
        <f>+D61*TableC4!O61/(1000)</f>
        <v>2.846917227893684E-3</v>
      </c>
      <c r="J61" s="424">
        <f t="shared" si="21"/>
        <v>2.3031468838363284E-2</v>
      </c>
      <c r="K61" s="353"/>
      <c r="L61" s="55"/>
      <c r="M61" s="354"/>
      <c r="N61" s="353"/>
      <c r="O61" s="423"/>
      <c r="P61" s="54"/>
      <c r="Q61" s="38"/>
      <c r="R61" s="38"/>
      <c r="S61" s="38"/>
      <c r="T61" s="38"/>
      <c r="U61" s="38"/>
      <c r="V61" s="38"/>
    </row>
    <row r="62" spans="1:22" ht="14" hidden="1" customHeight="1" x14ac:dyDescent="0.35">
      <c r="B62" s="297" t="s">
        <v>87</v>
      </c>
      <c r="C62" s="387"/>
      <c r="D62" s="429" t="e">
        <f>+VLOOKUP(B62,'[2]Data C 2,4'!$A$2:$S$189,16,0)%</f>
        <v>#N/A</v>
      </c>
      <c r="E62" s="426" t="e">
        <f>D62*TableC4!C62/(1000)</f>
        <v>#N/A</v>
      </c>
      <c r="F62" s="425" t="e">
        <f>+D62*TableC4!D62/(1000)</f>
        <v>#N/A</v>
      </c>
      <c r="G62" s="427" t="e">
        <f t="shared" si="20"/>
        <v>#N/A</v>
      </c>
      <c r="H62" s="426" t="e">
        <f>D62*TableC4!N62/(1000)</f>
        <v>#N/A</v>
      </c>
      <c r="I62" s="425" t="e">
        <f>+D62*TableC4!O62/(1000)</f>
        <v>#N/A</v>
      </c>
      <c r="J62" s="424" t="e">
        <f t="shared" si="21"/>
        <v>#N/A</v>
      </c>
      <c r="K62" s="353"/>
      <c r="L62" s="55"/>
      <c r="M62" s="354"/>
      <c r="N62" s="353"/>
      <c r="O62" s="423"/>
      <c r="P62" s="54"/>
      <c r="Q62" s="38"/>
      <c r="R62" s="38"/>
      <c r="S62" s="38"/>
      <c r="T62" s="38"/>
      <c r="U62" s="38"/>
      <c r="V62" s="38"/>
    </row>
    <row r="63" spans="1:22" ht="14" hidden="1" customHeight="1" x14ac:dyDescent="0.35">
      <c r="B63" s="297" t="s">
        <v>88</v>
      </c>
      <c r="C63" s="387"/>
      <c r="D63" s="429">
        <f>+VLOOKUP(B63,'[2]Data C 2,4'!$A$2:$S$189,16,0)%</f>
        <v>0</v>
      </c>
      <c r="E63" s="426">
        <f>D63*TableC4!C63/(1000)</f>
        <v>0</v>
      </c>
      <c r="F63" s="425">
        <f>+D63*TableC4!D63/(1000)</f>
        <v>0</v>
      </c>
      <c r="G63" s="427">
        <f t="shared" si="20"/>
        <v>0</v>
      </c>
      <c r="H63" s="426">
        <f>D63*TableC4!N63/(1000)</f>
        <v>0</v>
      </c>
      <c r="I63" s="425">
        <f>+D63*TableC4!O63/(1000)</f>
        <v>0</v>
      </c>
      <c r="J63" s="424">
        <f t="shared" si="21"/>
        <v>0</v>
      </c>
      <c r="K63" s="353"/>
      <c r="L63" s="55"/>
      <c r="M63" s="354"/>
      <c r="N63" s="353"/>
      <c r="O63" s="423"/>
      <c r="P63" s="54"/>
      <c r="Q63" s="38"/>
      <c r="R63" s="38"/>
      <c r="S63" s="38"/>
      <c r="T63" s="38"/>
      <c r="U63" s="38"/>
      <c r="V63" s="38"/>
    </row>
    <row r="64" spans="1:22" ht="14" hidden="1" customHeight="1" x14ac:dyDescent="0.35">
      <c r="A64" s="343" t="s">
        <v>352</v>
      </c>
      <c r="B64" s="297" t="s">
        <v>90</v>
      </c>
      <c r="C64" s="387"/>
      <c r="D64" s="429" t="e">
        <f>+VLOOKUP(B64,'[2]Data C 2,4'!$A$2:$S$189,16,0)%</f>
        <v>#N/A</v>
      </c>
      <c r="E64" s="426" t="e">
        <f>D64*TableC4!C64/(1000)</f>
        <v>#N/A</v>
      </c>
      <c r="F64" s="425" t="e">
        <f>+D64*TableC4!D64/(1000)</f>
        <v>#N/A</v>
      </c>
      <c r="G64" s="427" t="e">
        <f t="shared" si="20"/>
        <v>#N/A</v>
      </c>
      <c r="H64" s="426" t="e">
        <f>D64*TableC4!N64/(1000)</f>
        <v>#N/A</v>
      </c>
      <c r="I64" s="425" t="e">
        <f>+D64*TableC4!O64/(1000)</f>
        <v>#N/A</v>
      </c>
      <c r="J64" s="424" t="e">
        <f t="shared" si="21"/>
        <v>#N/A</v>
      </c>
      <c r="K64" s="353"/>
      <c r="L64" s="55"/>
      <c r="M64" s="354"/>
      <c r="N64" s="353"/>
      <c r="O64" s="423"/>
      <c r="P64" s="54"/>
      <c r="Q64" s="38"/>
      <c r="R64" s="38"/>
      <c r="S64" s="38"/>
      <c r="T64" s="38"/>
      <c r="U64" s="38"/>
      <c r="V64" s="38"/>
    </row>
    <row r="65" spans="1:22" ht="14" hidden="1" customHeight="1" x14ac:dyDescent="0.35">
      <c r="A65" s="343" t="s">
        <v>405</v>
      </c>
      <c r="B65" s="297" t="s">
        <v>329</v>
      </c>
      <c r="C65" s="387"/>
      <c r="D65" s="429" t="e">
        <f>+VLOOKUP(B65,'[2]Data C 2,4'!$A$2:$S$189,16,0)%</f>
        <v>#N/A</v>
      </c>
      <c r="E65" s="426" t="e">
        <f>D65*TableC4!C65/(1000)</f>
        <v>#N/A</v>
      </c>
      <c r="F65" s="425" t="e">
        <f>+D65*TableC4!D65/(1000)</f>
        <v>#N/A</v>
      </c>
      <c r="G65" s="427" t="e">
        <f t="shared" si="20"/>
        <v>#N/A</v>
      </c>
      <c r="H65" s="426" t="e">
        <f>D65*TableC4!N65/(1000)</f>
        <v>#N/A</v>
      </c>
      <c r="I65" s="425" t="e">
        <f>+D65*TableC4!O65/(1000)</f>
        <v>#N/A</v>
      </c>
      <c r="J65" s="424" t="e">
        <f t="shared" si="21"/>
        <v>#N/A</v>
      </c>
      <c r="K65" s="353"/>
      <c r="L65" s="55"/>
      <c r="M65" s="354"/>
      <c r="N65" s="353"/>
      <c r="O65" s="423"/>
      <c r="P65" s="54"/>
      <c r="Q65" s="38"/>
      <c r="R65" s="38"/>
      <c r="S65" s="38"/>
      <c r="T65" s="38"/>
      <c r="U65" s="38"/>
      <c r="V65" s="38"/>
    </row>
    <row r="66" spans="1:22" ht="14" hidden="1" customHeight="1" x14ac:dyDescent="0.35">
      <c r="B66" s="301" t="s">
        <v>93</v>
      </c>
      <c r="C66" s="389"/>
      <c r="D66" s="429">
        <f>+VLOOKUP(B66,'[2]Data C 2,4'!$A$2:$S$189,16,0)%</f>
        <v>0</v>
      </c>
      <c r="E66" s="426">
        <f>D66*TableC4!C66/(1000)</f>
        <v>0</v>
      </c>
      <c r="F66" s="425">
        <f>+D66*TableC4!D66/(1000)</f>
        <v>0</v>
      </c>
      <c r="G66" s="427">
        <f t="shared" si="20"/>
        <v>0</v>
      </c>
      <c r="H66" s="426">
        <f>D66*TableC4!N66/(1000)</f>
        <v>0</v>
      </c>
      <c r="I66" s="425">
        <f>+D66*TableC4!O66/(1000)</f>
        <v>0</v>
      </c>
      <c r="J66" s="424">
        <f t="shared" si="21"/>
        <v>0</v>
      </c>
      <c r="K66" s="356"/>
      <c r="L66" s="55"/>
      <c r="M66" s="354"/>
      <c r="N66" s="356"/>
      <c r="O66" s="423"/>
      <c r="P66" s="54"/>
      <c r="Q66" s="38"/>
      <c r="R66" s="38"/>
      <c r="S66" s="38"/>
      <c r="T66" s="38"/>
      <c r="U66" s="38"/>
      <c r="V66" s="38"/>
    </row>
    <row r="67" spans="1:22" ht="14" hidden="1" customHeight="1" x14ac:dyDescent="0.35">
      <c r="B67" s="297" t="s">
        <v>95</v>
      </c>
      <c r="C67" s="387"/>
      <c r="D67" s="429">
        <f>+VLOOKUP(B67,'[2]Data C 2,4'!$A$2:$S$189,16,0)%</f>
        <v>0.22</v>
      </c>
      <c r="E67" s="426">
        <f>D67*TableC4!C67/(1000)</f>
        <v>0</v>
      </c>
      <c r="F67" s="425">
        <f>+D67*TableC4!D67/(1000)</f>
        <v>0</v>
      </c>
      <c r="G67" s="427">
        <f t="shared" si="20"/>
        <v>0</v>
      </c>
      <c r="H67" s="426">
        <f>D67*TableC4!N67/(1000)</f>
        <v>1.2166289059969002E-2</v>
      </c>
      <c r="I67" s="425">
        <f>+D67*TableC4!O67/(1000)</f>
        <v>-1.6454844681213993E-3</v>
      </c>
      <c r="J67" s="424">
        <f t="shared" si="21"/>
        <v>1.3811773528090401E-2</v>
      </c>
      <c r="K67" s="353"/>
      <c r="L67" s="55"/>
      <c r="M67" s="354"/>
      <c r="N67" s="353"/>
      <c r="O67" s="423"/>
      <c r="P67" s="54"/>
      <c r="Q67" s="38"/>
      <c r="R67" s="38"/>
      <c r="S67" s="38"/>
      <c r="T67" s="38"/>
      <c r="U67" s="38"/>
      <c r="V67" s="38"/>
    </row>
    <row r="68" spans="1:22" ht="14" hidden="1" customHeight="1" x14ac:dyDescent="0.35">
      <c r="B68" s="297" t="str">
        <f>+[3]TableA1!A67</f>
        <v>Cyprus</v>
      </c>
      <c r="C68" s="387"/>
      <c r="D68" s="429">
        <f>+VLOOKUP(B68,'[2]Data C 2,4'!$A$2:$S$189,16,0)%</f>
        <v>0.125</v>
      </c>
      <c r="E68" s="426">
        <f>D68*TableC4!C68/(1000)</f>
        <v>0</v>
      </c>
      <c r="F68" s="425">
        <f>+D68*TableC4!D68/(1000)</f>
        <v>0</v>
      </c>
      <c r="G68" s="427">
        <f t="shared" si="20"/>
        <v>0</v>
      </c>
      <c r="H68" s="426">
        <f>D68*TableC4!N68/(1000)</f>
        <v>0.43511554043147888</v>
      </c>
      <c r="I68" s="425">
        <f>+D68*TableC4!O68/(1000)</f>
        <v>0.40002756494707209</v>
      </c>
      <c r="J68" s="424">
        <f t="shared" si="21"/>
        <v>3.5087975484406786E-2</v>
      </c>
      <c r="K68" s="353"/>
      <c r="L68" s="55"/>
      <c r="M68" s="354"/>
      <c r="N68" s="353"/>
      <c r="O68" s="423"/>
      <c r="P68" s="54"/>
      <c r="Q68" s="38"/>
      <c r="R68" s="38"/>
      <c r="S68" s="38"/>
      <c r="T68" s="38"/>
      <c r="U68" s="38"/>
      <c r="V68" s="38"/>
    </row>
    <row r="69" spans="1:22" ht="14" hidden="1" customHeight="1" x14ac:dyDescent="0.35">
      <c r="B69" s="297" t="s">
        <v>97</v>
      </c>
      <c r="C69" s="387"/>
      <c r="D69" s="429">
        <f>+VLOOKUP(B69,'[2]Data C 2,4'!$A$2:$S$189,16,0)%</f>
        <v>0.2</v>
      </c>
      <c r="E69" s="426">
        <f>D69*TableC4!C69/(1000)</f>
        <v>0</v>
      </c>
      <c r="F69" s="425">
        <f>+D69*TableC4!D69/(1000)</f>
        <v>0</v>
      </c>
      <c r="G69" s="427">
        <f t="shared" si="20"/>
        <v>0</v>
      </c>
      <c r="H69" s="426">
        <f>D69*TableC4!N69/(1000)</f>
        <v>0.32389514592479812</v>
      </c>
      <c r="I69" s="425">
        <f>+D69*TableC4!O69/(1000)</f>
        <v>0.27705246111227405</v>
      </c>
      <c r="J69" s="424">
        <f t="shared" si="21"/>
        <v>4.6842684812524071E-2</v>
      </c>
      <c r="K69" s="353"/>
      <c r="L69" s="55"/>
      <c r="M69" s="354"/>
      <c r="N69" s="353"/>
      <c r="O69" s="423"/>
      <c r="P69" s="54"/>
      <c r="Q69" s="38"/>
      <c r="R69" s="38"/>
      <c r="S69" s="38"/>
      <c r="T69" s="38"/>
      <c r="U69" s="38"/>
      <c r="V69" s="38"/>
    </row>
    <row r="70" spans="1:22" ht="14" hidden="1" customHeight="1" x14ac:dyDescent="0.35">
      <c r="B70" s="297" t="str">
        <f>+[3]TableA1!A69</f>
        <v>Grenada</v>
      </c>
      <c r="C70" s="387"/>
      <c r="D70" s="429">
        <f>+VLOOKUP(B70,'[2]Data C 2,4'!$A$2:$S$189,16,0)%</f>
        <v>0.3</v>
      </c>
      <c r="E70" s="426">
        <f>D70*TableC4!C70/(1000)</f>
        <v>0</v>
      </c>
      <c r="F70" s="425">
        <f>+D70*TableC4!D70/(1000)</f>
        <v>0</v>
      </c>
      <c r="G70" s="427">
        <f t="shared" si="20"/>
        <v>0</v>
      </c>
      <c r="H70" s="426">
        <f>D70*TableC4!N70/(1000)</f>
        <v>5.9919211003789722E-4</v>
      </c>
      <c r="I70" s="425">
        <f>+D70*TableC4!O70/(1000)</f>
        <v>2.4446604502839996E-5</v>
      </c>
      <c r="J70" s="424">
        <f t="shared" si="21"/>
        <v>5.7474550553505727E-4</v>
      </c>
      <c r="K70" s="353"/>
      <c r="L70" s="55"/>
      <c r="M70" s="354"/>
      <c r="N70" s="353"/>
      <c r="O70" s="423"/>
      <c r="P70" s="54"/>
      <c r="Q70" s="38"/>
      <c r="R70" s="38"/>
      <c r="S70" s="38"/>
      <c r="T70" s="38"/>
      <c r="U70" s="38"/>
      <c r="V70" s="38"/>
    </row>
    <row r="71" spans="1:22" ht="14" hidden="1" customHeight="1" x14ac:dyDescent="0.35">
      <c r="B71" s="297" t="s">
        <v>99</v>
      </c>
      <c r="C71" s="387"/>
      <c r="D71" s="429">
        <f>+VLOOKUP(B71,'[2]Data C 2,4'!$A$2:$S$189,16,0)%</f>
        <v>0</v>
      </c>
      <c r="E71" s="426">
        <f>D71*TableC4!C71/(1000)</f>
        <v>0</v>
      </c>
      <c r="F71" s="425">
        <f>+D71*TableC4!D71/(1000)</f>
        <v>0</v>
      </c>
      <c r="G71" s="427">
        <f t="shared" si="20"/>
        <v>0</v>
      </c>
      <c r="H71" s="426">
        <f>D71*TableC4!N71/(1000)</f>
        <v>0</v>
      </c>
      <c r="I71" s="425">
        <f>+D71*TableC4!O71/(1000)</f>
        <v>0</v>
      </c>
      <c r="J71" s="424">
        <f t="shared" si="21"/>
        <v>0</v>
      </c>
      <c r="K71" s="353"/>
      <c r="L71" s="55"/>
      <c r="M71" s="354"/>
      <c r="N71" s="353"/>
      <c r="O71" s="423"/>
      <c r="P71" s="54"/>
      <c r="Q71" s="38"/>
      <c r="R71" s="38"/>
      <c r="S71" s="38"/>
      <c r="T71" s="38"/>
      <c r="U71" s="38"/>
      <c r="V71" s="38"/>
    </row>
    <row r="72" spans="1:22" ht="14" hidden="1" customHeight="1" x14ac:dyDescent="0.35">
      <c r="A72" s="343" t="s">
        <v>100</v>
      </c>
      <c r="B72" s="297" t="s">
        <v>332</v>
      </c>
      <c r="C72" s="387"/>
      <c r="D72" s="429" t="e">
        <f>+VLOOKUP(B72,'[2]Data C 2,4'!$A$2:$S$189,16,0)%</f>
        <v>#N/A</v>
      </c>
      <c r="E72" s="426" t="e">
        <f>D72*TableC4!C72/(1000)</f>
        <v>#N/A</v>
      </c>
      <c r="F72" s="425" t="e">
        <f>+D72*TableC4!D72/(1000)</f>
        <v>#N/A</v>
      </c>
      <c r="G72" s="427" t="e">
        <f t="shared" si="20"/>
        <v>#N/A</v>
      </c>
      <c r="H72" s="426" t="e">
        <f>D72*TableC4!N72/(1000)</f>
        <v>#N/A</v>
      </c>
      <c r="I72" s="425" t="e">
        <f>+D72*TableC4!O72/(1000)</f>
        <v>#N/A</v>
      </c>
      <c r="J72" s="424" t="e">
        <f t="shared" si="21"/>
        <v>#N/A</v>
      </c>
      <c r="K72" s="353"/>
      <c r="L72" s="55"/>
      <c r="M72" s="354"/>
      <c r="N72" s="353"/>
      <c r="O72" s="423"/>
      <c r="P72" s="54"/>
      <c r="Q72" s="38"/>
      <c r="R72" s="38"/>
      <c r="S72" s="38"/>
      <c r="T72" s="38"/>
      <c r="U72" s="38"/>
      <c r="V72" s="38"/>
    </row>
    <row r="73" spans="1:22" ht="14" hidden="1" customHeight="1" x14ac:dyDescent="0.35">
      <c r="A73" s="343" t="s">
        <v>102</v>
      </c>
      <c r="B73" s="297" t="s">
        <v>328</v>
      </c>
      <c r="C73" s="387"/>
      <c r="D73" s="429" t="e">
        <f>+VLOOKUP(B73,'[2]Data C 2,4'!$A$2:$S$189,16,0)%</f>
        <v>#N/A</v>
      </c>
      <c r="E73" s="426" t="e">
        <f>D73*TableC4!C73/(1000)</f>
        <v>#N/A</v>
      </c>
      <c r="F73" s="425" t="e">
        <f>+D73*TableC4!D73/(1000)</f>
        <v>#N/A</v>
      </c>
      <c r="G73" s="427" t="e">
        <f t="shared" si="20"/>
        <v>#N/A</v>
      </c>
      <c r="H73" s="426" t="e">
        <f>D73*TableC4!N73/(1000)</f>
        <v>#N/A</v>
      </c>
      <c r="I73" s="425" t="e">
        <f>+D73*TableC4!O73/(1000)</f>
        <v>#N/A</v>
      </c>
      <c r="J73" s="424" t="e">
        <f t="shared" si="21"/>
        <v>#N/A</v>
      </c>
      <c r="K73" s="353"/>
      <c r="L73" s="55"/>
      <c r="M73" s="354"/>
      <c r="N73" s="353"/>
      <c r="O73" s="423"/>
      <c r="P73" s="54"/>
      <c r="Q73" s="38"/>
      <c r="R73" s="38"/>
      <c r="S73" s="38"/>
      <c r="T73" s="38"/>
      <c r="U73" s="38"/>
      <c r="V73" s="38"/>
    </row>
    <row r="74" spans="1:22" ht="14" hidden="1" customHeight="1" x14ac:dyDescent="0.35">
      <c r="B74" s="297" t="s">
        <v>103</v>
      </c>
      <c r="C74" s="387"/>
      <c r="D74" s="429">
        <f>+VLOOKUP(B74,'[2]Data C 2,4'!$A$2:$S$189,16,0)%</f>
        <v>0</v>
      </c>
      <c r="E74" s="426">
        <f>D74*TableC4!C74/(1000)</f>
        <v>0</v>
      </c>
      <c r="F74" s="425">
        <f>+D74*TableC4!D74/(1000)</f>
        <v>0</v>
      </c>
      <c r="G74" s="427">
        <f t="shared" si="20"/>
        <v>0</v>
      </c>
      <c r="H74" s="426">
        <f>D74*TableC4!N74/(1000)</f>
        <v>0</v>
      </c>
      <c r="I74" s="425">
        <f>+D74*TableC4!O74/(1000)</f>
        <v>0</v>
      </c>
      <c r="J74" s="424">
        <f t="shared" si="21"/>
        <v>0</v>
      </c>
      <c r="K74" s="353"/>
      <c r="L74" s="55"/>
      <c r="M74" s="354"/>
      <c r="N74" s="353"/>
      <c r="O74" s="423"/>
      <c r="P74" s="54"/>
      <c r="Q74" s="38"/>
      <c r="R74" s="38"/>
      <c r="S74" s="38"/>
      <c r="T74" s="38"/>
      <c r="U74" s="38"/>
      <c r="V74" s="38"/>
    </row>
    <row r="75" spans="1:22" ht="14" hidden="1" customHeight="1" x14ac:dyDescent="0.35">
      <c r="B75" s="297" t="s">
        <v>104</v>
      </c>
      <c r="C75" s="387"/>
      <c r="D75" s="429">
        <f>+VLOOKUP(B75,'[2]Data C 2,4'!$A$2:$S$189,16,0)%</f>
        <v>0.15</v>
      </c>
      <c r="E75" s="426">
        <f>D75*TableC4!C75/(1000)</f>
        <v>0</v>
      </c>
      <c r="F75" s="425">
        <f>+D75*TableC4!D75/(1000)</f>
        <v>0</v>
      </c>
      <c r="G75" s="427">
        <f t="shared" si="20"/>
        <v>0</v>
      </c>
      <c r="H75" s="426">
        <f>D75*TableC4!N75/(1000)</f>
        <v>1.5570321462974776E-2</v>
      </c>
      <c r="I75" s="425">
        <f>+D75*TableC4!O75/(1000)</f>
        <v>8.3831837208346843E-3</v>
      </c>
      <c r="J75" s="424">
        <f t="shared" si="21"/>
        <v>7.1871377421400921E-3</v>
      </c>
      <c r="K75" s="353"/>
      <c r="L75" s="55"/>
      <c r="M75" s="354"/>
      <c r="N75" s="353"/>
      <c r="O75" s="423"/>
      <c r="P75" s="54"/>
      <c r="Q75" s="38"/>
      <c r="R75" s="38"/>
      <c r="S75" s="38"/>
      <c r="T75" s="38"/>
      <c r="U75" s="38"/>
      <c r="V75" s="38"/>
    </row>
    <row r="76" spans="1:22" ht="14" hidden="1" customHeight="1" x14ac:dyDescent="0.35">
      <c r="B76" s="297" t="s">
        <v>105</v>
      </c>
      <c r="C76" s="387"/>
      <c r="D76" s="429">
        <f>+VLOOKUP(B76,'[2]Data C 2,4'!$A$2:$S$189,16,0)%</f>
        <v>0.125</v>
      </c>
      <c r="E76" s="426">
        <f>D76*TableC4!C76/(1000)</f>
        <v>0</v>
      </c>
      <c r="F76" s="425">
        <f>+D76*TableC4!D76/(1000)</f>
        <v>0</v>
      </c>
      <c r="G76" s="427">
        <f t="shared" si="20"/>
        <v>0</v>
      </c>
      <c r="H76" s="426">
        <f>D76*TableC4!N76/(1000)</f>
        <v>5.7966725330770984E-2</v>
      </c>
      <c r="I76" s="425">
        <f>+D76*TableC4!O76/(1000)</f>
        <v>3.595773054142927E-2</v>
      </c>
      <c r="J76" s="424">
        <f t="shared" si="21"/>
        <v>2.2008994789341714E-2</v>
      </c>
      <c r="K76" s="353"/>
      <c r="L76" s="55"/>
      <c r="M76" s="354"/>
      <c r="N76" s="353"/>
      <c r="O76" s="423"/>
      <c r="P76" s="54"/>
      <c r="Q76" s="38"/>
      <c r="R76" s="38"/>
      <c r="S76" s="38"/>
      <c r="T76" s="38"/>
      <c r="U76" s="38"/>
      <c r="V76" s="38"/>
    </row>
    <row r="77" spans="1:22" ht="14" hidden="1" customHeight="1" x14ac:dyDescent="0.35">
      <c r="A77" s="343" t="s">
        <v>106</v>
      </c>
      <c r="B77" s="297" t="s">
        <v>108</v>
      </c>
      <c r="C77" s="387"/>
      <c r="D77" s="429">
        <f>+VLOOKUP(B77,'[2]Data C 2,4'!$A$2:$S$189,16,0)%</f>
        <v>0.12</v>
      </c>
      <c r="E77" s="426">
        <f>D77*TableC4!C77/(1000)</f>
        <v>0</v>
      </c>
      <c r="F77" s="425">
        <f>+D77*TableC4!D77/(1000)</f>
        <v>0</v>
      </c>
      <c r="G77" s="427">
        <f t="shared" si="20"/>
        <v>0</v>
      </c>
      <c r="H77" s="426">
        <f>D77*TableC4!N77/(1000)</f>
        <v>0.15334261997827825</v>
      </c>
      <c r="I77" s="425">
        <f>+D77*TableC4!O77/(1000)</f>
        <v>2.5733487009848999E-5</v>
      </c>
      <c r="J77" s="424">
        <f t="shared" si="21"/>
        <v>0.1533168864912684</v>
      </c>
      <c r="K77" s="353"/>
      <c r="L77" s="55"/>
      <c r="M77" s="354"/>
      <c r="N77" s="353"/>
      <c r="O77" s="423"/>
      <c r="P77" s="54"/>
      <c r="Q77" s="38"/>
      <c r="R77" s="38"/>
      <c r="S77" s="38"/>
      <c r="T77" s="38"/>
      <c r="U77" s="38"/>
      <c r="V77" s="38"/>
    </row>
    <row r="78" spans="1:22" ht="14" hidden="1" customHeight="1" x14ac:dyDescent="0.35">
      <c r="B78" s="297" t="s">
        <v>109</v>
      </c>
      <c r="C78" s="387"/>
      <c r="D78" s="429">
        <f>+VLOOKUP(B78,'[2]Data C 2,4'!$A$2:$S$189,16,0)%</f>
        <v>0.35</v>
      </c>
      <c r="E78" s="426">
        <f>D78*TableC4!C78/(1000)</f>
        <v>0</v>
      </c>
      <c r="F78" s="425">
        <f>+D78*TableC4!D78/(1000)</f>
        <v>0</v>
      </c>
      <c r="G78" s="427">
        <f t="shared" si="20"/>
        <v>0</v>
      </c>
      <c r="H78" s="426">
        <f>D78*TableC4!N78/(1000)</f>
        <v>0.35291243620611268</v>
      </c>
      <c r="I78" s="425">
        <f>+D78*TableC4!O78/(1000)</f>
        <v>0.35173543778404287</v>
      </c>
      <c r="J78" s="424">
        <f t="shared" si="21"/>
        <v>1.1769984220698082E-3</v>
      </c>
      <c r="K78" s="353"/>
      <c r="L78" s="55"/>
      <c r="M78" s="354"/>
      <c r="N78" s="353"/>
      <c r="O78" s="423"/>
      <c r="P78" s="54"/>
      <c r="Q78" s="38"/>
      <c r="R78" s="38"/>
      <c r="S78" s="38"/>
      <c r="T78" s="38"/>
      <c r="U78" s="38"/>
      <c r="V78" s="38"/>
    </row>
    <row r="79" spans="1:22" ht="14" hidden="1" customHeight="1" x14ac:dyDescent="0.35">
      <c r="A79" s="343" t="s">
        <v>111</v>
      </c>
      <c r="B79" s="297" t="s">
        <v>110</v>
      </c>
      <c r="C79" s="387"/>
      <c r="D79" s="429" t="e">
        <f>+VLOOKUP(B79,'[2]Data C 2,4'!$A$2:$S$189,16,0)%</f>
        <v>#N/A</v>
      </c>
      <c r="E79" s="426" t="e">
        <f>D79*TableC4!C79/(1000)</f>
        <v>#N/A</v>
      </c>
      <c r="F79" s="425" t="e">
        <f>+D79*TableC4!D79/(1000)</f>
        <v>#N/A</v>
      </c>
      <c r="G79" s="427" t="e">
        <f t="shared" si="20"/>
        <v>#N/A</v>
      </c>
      <c r="H79" s="426" t="e">
        <f>D79*TableC4!N79/(1000)</f>
        <v>#N/A</v>
      </c>
      <c r="I79" s="425" t="e">
        <f>+D79*TableC4!O79/(1000)</f>
        <v>#N/A</v>
      </c>
      <c r="J79" s="424" t="e">
        <f t="shared" si="21"/>
        <v>#N/A</v>
      </c>
      <c r="K79" s="353"/>
      <c r="L79" s="55"/>
      <c r="M79" s="354"/>
      <c r="N79" s="353"/>
      <c r="O79" s="423"/>
      <c r="P79" s="54"/>
      <c r="Q79" s="38"/>
      <c r="R79" s="38"/>
      <c r="S79" s="38"/>
      <c r="T79" s="38"/>
      <c r="U79" s="38"/>
      <c r="V79" s="38"/>
    </row>
    <row r="80" spans="1:22" ht="14" hidden="1" customHeight="1" x14ac:dyDescent="0.35">
      <c r="B80" s="297" t="str">
        <f>+[3]TableA1!A79</f>
        <v>Monaco</v>
      </c>
      <c r="C80" s="387"/>
      <c r="D80" s="429">
        <f>+VLOOKUP(B80,'[2]Data C 2,4'!$A$2:$S$189,16,0)%</f>
        <v>0.33329999999999999</v>
      </c>
      <c r="E80" s="426">
        <f>D80*TableC4!C80/(1000)</f>
        <v>0</v>
      </c>
      <c r="F80" s="425">
        <f>+D80*TableC4!D80/(1000)</f>
        <v>0</v>
      </c>
      <c r="G80" s="427">
        <f t="shared" si="20"/>
        <v>0</v>
      </c>
      <c r="H80" s="426">
        <f>D80*TableC4!N80/(1000)</f>
        <v>3.5118202302404276E-4</v>
      </c>
      <c r="I80" s="425">
        <f>+D80*TableC4!O80/(1000)</f>
        <v>0</v>
      </c>
      <c r="J80" s="424">
        <f t="shared" si="21"/>
        <v>3.5118202302404276E-4</v>
      </c>
      <c r="K80" s="353"/>
      <c r="L80" s="55"/>
      <c r="M80" s="354"/>
      <c r="N80" s="353"/>
      <c r="O80" s="423"/>
      <c r="P80" s="54"/>
      <c r="Q80" s="38"/>
      <c r="R80" s="38"/>
      <c r="S80" s="38"/>
      <c r="T80" s="38"/>
      <c r="U80" s="38"/>
      <c r="V80" s="38"/>
    </row>
    <row r="81" spans="1:22" ht="14" hidden="1" customHeight="1" x14ac:dyDescent="0.35">
      <c r="B81" s="297" t="s">
        <v>113</v>
      </c>
      <c r="C81" s="387"/>
      <c r="D81" s="429" t="e">
        <f>+VLOOKUP(B81,'[2]Data C 2,4'!$A$2:$S$189,16,0)%</f>
        <v>#N/A</v>
      </c>
      <c r="E81" s="426" t="e">
        <f>D81*TableC4!C81/(1000)</f>
        <v>#N/A</v>
      </c>
      <c r="F81" s="425" t="e">
        <f>+D81*TableC4!D81/(1000)</f>
        <v>#N/A</v>
      </c>
      <c r="G81" s="427" t="e">
        <f t="shared" si="20"/>
        <v>#N/A</v>
      </c>
      <c r="H81" s="426" t="e">
        <f>D81*TableC4!N81/(1000)</f>
        <v>#N/A</v>
      </c>
      <c r="I81" s="425" t="e">
        <f>+D81*TableC4!O81/(1000)</f>
        <v>#N/A</v>
      </c>
      <c r="J81" s="424" t="e">
        <f t="shared" si="21"/>
        <v>#N/A</v>
      </c>
      <c r="K81" s="353"/>
      <c r="L81" s="55"/>
      <c r="M81" s="354"/>
      <c r="N81" s="353"/>
      <c r="O81" s="423"/>
      <c r="P81" s="54"/>
      <c r="Q81" s="38"/>
      <c r="R81" s="38"/>
      <c r="S81" s="38"/>
      <c r="T81" s="38"/>
      <c r="U81" s="38"/>
      <c r="V81" s="38"/>
    </row>
    <row r="82" spans="1:22" ht="14" hidden="1" customHeight="1" x14ac:dyDescent="0.35">
      <c r="B82" s="297" t="s">
        <v>114</v>
      </c>
      <c r="C82" s="387"/>
      <c r="D82" s="429">
        <f>+VLOOKUP(B82,'[2]Data C 2,4'!$A$2:$S$189,16,0)%</f>
        <v>0.15</v>
      </c>
      <c r="E82" s="426">
        <f>D82*TableC4!C82/(1000)</f>
        <v>0</v>
      </c>
      <c r="F82" s="425">
        <f>+D82*TableC4!D82/(1000)</f>
        <v>0</v>
      </c>
      <c r="G82" s="427">
        <f t="shared" si="20"/>
        <v>0</v>
      </c>
      <c r="H82" s="426">
        <f>D82*TableC4!N82/(1000)</f>
        <v>0.22653264011945784</v>
      </c>
      <c r="I82" s="425">
        <f>+D82*TableC4!O82/(1000)</f>
        <v>4.3563989608662074E-4</v>
      </c>
      <c r="J82" s="424">
        <f t="shared" si="21"/>
        <v>0.22609700022337123</v>
      </c>
      <c r="K82" s="353"/>
      <c r="L82" s="55"/>
      <c r="M82" s="354"/>
      <c r="N82" s="353"/>
      <c r="O82" s="423"/>
      <c r="P82" s="54"/>
      <c r="Q82" s="38"/>
      <c r="R82" s="38"/>
      <c r="S82" s="38"/>
      <c r="T82" s="38"/>
      <c r="U82" s="38"/>
      <c r="V82" s="38"/>
    </row>
    <row r="83" spans="1:22" ht="14" hidden="1" customHeight="1" x14ac:dyDescent="0.35">
      <c r="B83" s="297" t="str">
        <f>+[3]TableA1!A82</f>
        <v>Seychelles</v>
      </c>
      <c r="C83" s="387"/>
      <c r="D83" s="429" t="e">
        <f>+VLOOKUP(B83,'[2]Data C 2,4'!$A$2:$S$189,16,0)%</f>
        <v>#N/A</v>
      </c>
      <c r="E83" s="426" t="e">
        <f>D83*TableC4!C83/(1000)</f>
        <v>#N/A</v>
      </c>
      <c r="F83" s="425" t="e">
        <f>+D83*TableC4!D83/(1000)</f>
        <v>#N/A</v>
      </c>
      <c r="G83" s="427" t="e">
        <f t="shared" si="20"/>
        <v>#N/A</v>
      </c>
      <c r="H83" s="426" t="e">
        <f>D83*TableC4!N83/(1000)</f>
        <v>#N/A</v>
      </c>
      <c r="I83" s="425" t="e">
        <f>+D83*TableC4!O83/(1000)</f>
        <v>#N/A</v>
      </c>
      <c r="J83" s="424" t="e">
        <f t="shared" si="21"/>
        <v>#N/A</v>
      </c>
      <c r="K83" s="353"/>
      <c r="L83" s="55"/>
      <c r="M83" s="354"/>
      <c r="N83" s="353"/>
      <c r="O83" s="423"/>
      <c r="P83" s="54"/>
      <c r="Q83" s="38"/>
      <c r="R83" s="38"/>
      <c r="S83" s="38"/>
      <c r="T83" s="38"/>
      <c r="U83" s="38"/>
      <c r="V83" s="38"/>
    </row>
    <row r="84" spans="1:22" hidden="1" x14ac:dyDescent="0.35">
      <c r="B84" s="297" t="s">
        <v>116</v>
      </c>
      <c r="C84" s="387"/>
      <c r="D84" s="429">
        <f>+VLOOKUP(B84,'[2]Data C 2,4'!$A$2:$S$189,16,0)%</f>
        <v>0.17</v>
      </c>
      <c r="E84" s="426">
        <f>D84*TableC4!C84/(1000)</f>
        <v>0</v>
      </c>
      <c r="F84" s="425">
        <f>+D84*TableC4!D84/(1000)</f>
        <v>0</v>
      </c>
      <c r="G84" s="427">
        <f t="shared" si="20"/>
        <v>0</v>
      </c>
      <c r="H84" s="426">
        <f>D84*TableC4!N84/(1000)</f>
        <v>2.4679350395864712</v>
      </c>
      <c r="I84" s="425">
        <f>+D84*TableC4!O84/(1000)</f>
        <v>0.24570554563984912</v>
      </c>
      <c r="J84" s="424">
        <f t="shared" si="21"/>
        <v>2.2222294939466223</v>
      </c>
      <c r="K84" s="353"/>
      <c r="L84" s="55"/>
      <c r="M84" s="354"/>
      <c r="N84" s="353"/>
      <c r="O84" s="423"/>
      <c r="P84" s="54"/>
      <c r="Q84" s="38"/>
      <c r="R84" s="38"/>
      <c r="S84" s="38"/>
      <c r="T84" s="38"/>
      <c r="U84" s="38"/>
      <c r="V84" s="38"/>
    </row>
    <row r="85" spans="1:22" hidden="1" x14ac:dyDescent="0.35">
      <c r="B85" s="297" t="str">
        <f>+[3]TableA1!A84</f>
        <v>St. Kitts and Nevis</v>
      </c>
      <c r="C85" s="387"/>
      <c r="D85" s="429" t="e">
        <f>+VLOOKUP(B85,'[2]Data C 2,4'!$A$2:$S$189,16,0)%</f>
        <v>#N/A</v>
      </c>
      <c r="E85" s="426" t="e">
        <f>D85*TableC4!C85/(1000)</f>
        <v>#N/A</v>
      </c>
      <c r="F85" s="425" t="e">
        <f>+D85*TableC4!D85/(1000)</f>
        <v>#N/A</v>
      </c>
      <c r="G85" s="427" t="e">
        <f t="shared" si="20"/>
        <v>#N/A</v>
      </c>
      <c r="H85" s="426" t="e">
        <f>D85*TableC4!N85/(1000)</f>
        <v>#N/A</v>
      </c>
      <c r="I85" s="425" t="e">
        <f>+D85*TableC4!O85/(1000)</f>
        <v>#N/A</v>
      </c>
      <c r="J85" s="424" t="e">
        <f t="shared" si="21"/>
        <v>#N/A</v>
      </c>
      <c r="K85" s="353"/>
      <c r="L85" s="55"/>
      <c r="M85" s="354"/>
      <c r="N85" s="353"/>
      <c r="O85" s="423"/>
      <c r="P85" s="54"/>
      <c r="Q85" s="38"/>
      <c r="R85" s="38"/>
      <c r="S85" s="38"/>
      <c r="T85" s="38"/>
      <c r="U85" s="38"/>
      <c r="V85" s="38"/>
    </row>
    <row r="86" spans="1:22" hidden="1" x14ac:dyDescent="0.35">
      <c r="B86" s="297" t="str">
        <f>+[3]TableA1!A85</f>
        <v>St. Lucia</v>
      </c>
      <c r="C86" s="387"/>
      <c r="D86" s="429" t="e">
        <f>+VLOOKUP(B86,'[2]Data C 2,4'!$A$2:$S$189,16,0)%</f>
        <v>#N/A</v>
      </c>
      <c r="E86" s="426" t="e">
        <f>D86*TableC4!C86/(1000)</f>
        <v>#N/A</v>
      </c>
      <c r="F86" s="425" t="e">
        <f>+D86*TableC4!D86/(1000)</f>
        <v>#N/A</v>
      </c>
      <c r="G86" s="427" t="e">
        <f t="shared" si="20"/>
        <v>#N/A</v>
      </c>
      <c r="H86" s="426" t="e">
        <f>D86*TableC4!N86/(1000)</f>
        <v>#N/A</v>
      </c>
      <c r="I86" s="425" t="e">
        <f>+D86*TableC4!O86/(1000)</f>
        <v>#N/A</v>
      </c>
      <c r="J86" s="424" t="e">
        <f t="shared" si="21"/>
        <v>#N/A</v>
      </c>
      <c r="K86" s="353"/>
      <c r="L86" s="55"/>
      <c r="M86" s="354"/>
      <c r="N86" s="353"/>
      <c r="O86" s="423"/>
      <c r="P86" s="54"/>
      <c r="Q86" s="38"/>
      <c r="R86" s="38"/>
      <c r="S86" s="38"/>
      <c r="T86" s="38"/>
      <c r="U86" s="38"/>
      <c r="V86" s="38"/>
    </row>
    <row r="87" spans="1:22" hidden="1" x14ac:dyDescent="0.35">
      <c r="B87" s="297" t="str">
        <f>+[3]TableA1!A86</f>
        <v>St. Vincent and the Grenadines</v>
      </c>
      <c r="C87" s="387"/>
      <c r="D87" s="429" t="e">
        <f>+VLOOKUP(B87,'[2]Data C 2,4'!$A$2:$S$189,16,0)%</f>
        <v>#N/A</v>
      </c>
      <c r="E87" s="426" t="e">
        <f>D87*TableC4!C87/(1000)</f>
        <v>#N/A</v>
      </c>
      <c r="F87" s="425" t="e">
        <f>+D87*TableC4!D87/(1000)</f>
        <v>#N/A</v>
      </c>
      <c r="G87" s="427" t="e">
        <f t="shared" si="20"/>
        <v>#N/A</v>
      </c>
      <c r="H87" s="426" t="e">
        <f>D87*TableC4!N87/(1000)</f>
        <v>#N/A</v>
      </c>
      <c r="I87" s="425" t="e">
        <f>+D87*TableC4!O87/(1000)</f>
        <v>#N/A</v>
      </c>
      <c r="J87" s="424" t="e">
        <f t="shared" si="21"/>
        <v>#N/A</v>
      </c>
      <c r="K87" s="353"/>
      <c r="L87" s="55"/>
      <c r="M87" s="354"/>
      <c r="N87" s="353"/>
      <c r="O87" s="423"/>
      <c r="P87" s="54"/>
      <c r="Q87" s="38"/>
      <c r="R87" s="38"/>
      <c r="S87" s="38"/>
      <c r="T87" s="38"/>
      <c r="U87" s="38"/>
      <c r="V87" s="38"/>
    </row>
    <row r="88" spans="1:22" ht="23" hidden="1" x14ac:dyDescent="0.35">
      <c r="A88" s="343" t="s">
        <v>353</v>
      </c>
      <c r="B88" s="297" t="str">
        <f>+[3]TableA1!A87</f>
        <v>Turks and Caicos</v>
      </c>
      <c r="C88" s="387"/>
      <c r="D88" s="429" t="e">
        <f>+VLOOKUP(B88,'[2]Data C 2,4'!$A$2:$S$189,16,0)%</f>
        <v>#N/A</v>
      </c>
      <c r="E88" s="426" t="e">
        <f>D88*TableC4!C88/(1000)</f>
        <v>#N/A</v>
      </c>
      <c r="F88" s="425" t="e">
        <f>+D88*TableC4!D88/(1000)</f>
        <v>#N/A</v>
      </c>
      <c r="G88" s="427" t="e">
        <f t="shared" si="20"/>
        <v>#N/A</v>
      </c>
      <c r="H88" s="426" t="e">
        <f>D88*TableC4!N88/(1000)</f>
        <v>#N/A</v>
      </c>
      <c r="I88" s="425" t="e">
        <f>+D88*TableC4!O88/(1000)</f>
        <v>#N/A</v>
      </c>
      <c r="J88" s="424" t="e">
        <f t="shared" si="21"/>
        <v>#N/A</v>
      </c>
      <c r="K88" s="353"/>
      <c r="L88" s="55"/>
      <c r="M88" s="354"/>
      <c r="N88" s="353"/>
      <c r="O88" s="423"/>
      <c r="P88" s="54"/>
      <c r="Q88" s="38"/>
      <c r="R88" s="38"/>
      <c r="S88" s="38"/>
      <c r="T88" s="38"/>
      <c r="U88" s="38"/>
      <c r="V88" s="38"/>
    </row>
    <row r="89" spans="1:22" hidden="1" x14ac:dyDescent="0.35">
      <c r="B89" s="297" t="str">
        <f>+[3]TableA1!A88</f>
        <v>Panama</v>
      </c>
      <c r="C89" s="387"/>
      <c r="D89" s="429">
        <f>+VLOOKUP(B89,'[2]Data C 2,4'!$A$2:$S$189,16,0)%</f>
        <v>0.25</v>
      </c>
      <c r="E89" s="426">
        <f>D89*TableC4!C89/(1000)</f>
        <v>0</v>
      </c>
      <c r="F89" s="425">
        <f>+D89*TableC4!D89/(1000)</f>
        <v>0</v>
      </c>
      <c r="G89" s="427">
        <f t="shared" si="20"/>
        <v>0</v>
      </c>
      <c r="H89" s="426">
        <f>D89*TableC4!N89/(1000)</f>
        <v>0.22471675085594744</v>
      </c>
      <c r="I89" s="425">
        <f>+D89*TableC4!O89/(1000)</f>
        <v>-2.2956296456623847E-3</v>
      </c>
      <c r="J89" s="424">
        <f t="shared" si="21"/>
        <v>0.22701238050160982</v>
      </c>
      <c r="K89" s="353"/>
      <c r="L89" s="55"/>
      <c r="M89" s="354"/>
      <c r="N89" s="353"/>
      <c r="O89" s="423"/>
      <c r="P89" s="54"/>
      <c r="Q89" s="38"/>
      <c r="R89" s="38"/>
      <c r="S89" s="38"/>
      <c r="T89" s="38"/>
      <c r="U89" s="38"/>
      <c r="V89" s="38"/>
    </row>
    <row r="90" spans="1:22" hidden="1" x14ac:dyDescent="0.35">
      <c r="B90" s="297" t="s">
        <v>122</v>
      </c>
      <c r="C90" s="387"/>
      <c r="D90" s="429" t="e">
        <f>+VLOOKUP(B90,'[2]Data C 2,4'!$A$2:$S$189,16,0)%</f>
        <v>#N/A</v>
      </c>
      <c r="E90" s="426" t="e">
        <f>D90*TableC4!C90/(1000)</f>
        <v>#N/A</v>
      </c>
      <c r="F90" s="425" t="e">
        <f>+D90*TableC4!D90/(1000)</f>
        <v>#N/A</v>
      </c>
      <c r="G90" s="427" t="e">
        <f t="shared" si="20"/>
        <v>#N/A</v>
      </c>
      <c r="H90" s="426" t="e">
        <f>D90*TableC4!N90/(1000)</f>
        <v>#N/A</v>
      </c>
      <c r="I90" s="425" t="e">
        <f>+D90*TableC4!O90/(1000)</f>
        <v>#N/A</v>
      </c>
      <c r="J90" s="424" t="e">
        <f t="shared" si="21"/>
        <v>#N/A</v>
      </c>
      <c r="K90" s="353"/>
      <c r="L90" s="55"/>
      <c r="M90" s="354"/>
      <c r="N90" s="353"/>
      <c r="O90" s="423"/>
      <c r="P90" s="54"/>
      <c r="Q90" s="38"/>
      <c r="R90" s="38"/>
      <c r="S90" s="38"/>
      <c r="T90" s="38"/>
      <c r="U90" s="38"/>
      <c r="V90" s="38"/>
    </row>
    <row r="91" spans="1:22" ht="52" customHeight="1" x14ac:dyDescent="0.35">
      <c r="B91" s="307" t="s">
        <v>442</v>
      </c>
      <c r="C91" s="434">
        <f>SUM(C92:C99)</f>
        <v>98.595118505000002</v>
      </c>
      <c r="D91" s="433"/>
      <c r="E91" s="432">
        <f>F91+G91</f>
        <v>11.70409895467113</v>
      </c>
      <c r="F91" s="431">
        <f>SUM(F92:F99)</f>
        <v>2.2089036552066119</v>
      </c>
      <c r="G91" s="430">
        <f>SUM(G92:G99)</f>
        <v>9.4951952994645179</v>
      </c>
      <c r="H91" s="432"/>
      <c r="I91" s="431"/>
      <c r="J91" s="430"/>
      <c r="K91" s="43">
        <f t="shared" ref="K91:K99" si="22">+E91/$C91</f>
        <v>0.11870870619297025</v>
      </c>
      <c r="L91" s="42">
        <f t="shared" ref="L91:L99" si="23">+F91/$C91</f>
        <v>2.2403783155801906E-2</v>
      </c>
      <c r="M91" s="357">
        <f t="shared" ref="M91:M99" si="24">+G91/$C91</f>
        <v>9.6304923037168352E-2</v>
      </c>
      <c r="N91" s="43"/>
      <c r="O91" s="357"/>
      <c r="P91" s="350"/>
      <c r="Q91" s="42"/>
      <c r="R91" s="42"/>
      <c r="S91" s="42"/>
      <c r="T91" s="42"/>
      <c r="U91" s="42"/>
      <c r="V91" s="42"/>
    </row>
    <row r="92" spans="1:22" x14ac:dyDescent="0.35">
      <c r="A92" s="343"/>
      <c r="B92" s="297" t="s">
        <v>130</v>
      </c>
      <c r="C92" s="394">
        <f>+[2]globaltaxrev!$B$6</f>
        <v>12.253769999999999</v>
      </c>
      <c r="D92" s="429">
        <f>+VLOOKUP(B92,'[2]Data C 2,4'!$A$2:$S$189,17,0)%</f>
        <v>0.3</v>
      </c>
      <c r="E92" s="426">
        <f>D92*TableC4!C92/(1000)</f>
        <v>1.4786393126807016</v>
      </c>
      <c r="F92" s="425">
        <f>+D92*TableC4!D92/(1000)</f>
        <v>0.42515964020715746</v>
      </c>
      <c r="G92" s="427">
        <f>+E92-F92</f>
        <v>1.0534796724735442</v>
      </c>
      <c r="H92" s="426"/>
      <c r="I92" s="425"/>
      <c r="J92" s="424"/>
      <c r="K92" s="61">
        <f t="shared" si="22"/>
        <v>0.12066811378707953</v>
      </c>
      <c r="L92" s="38">
        <f t="shared" si="23"/>
        <v>3.469623146241177E-2</v>
      </c>
      <c r="M92" s="354">
        <f t="shared" si="24"/>
        <v>8.5971882324667778E-2</v>
      </c>
      <c r="N92" s="61"/>
      <c r="O92" s="354"/>
      <c r="P92" s="54"/>
      <c r="Q92" s="56"/>
      <c r="R92" s="513">
        <v>2.2999999999999998</v>
      </c>
      <c r="S92" s="56"/>
      <c r="T92" s="56"/>
      <c r="U92" s="56"/>
      <c r="V92" s="56"/>
    </row>
    <row r="93" spans="1:22" x14ac:dyDescent="0.35">
      <c r="A93" s="343"/>
      <c r="B93" s="297" t="s">
        <v>175</v>
      </c>
      <c r="C93" s="394">
        <f>+[2]globaltaxrev!$B$50</f>
        <v>9.2695900000000009</v>
      </c>
      <c r="D93" s="429">
        <f>+VLOOKUP(B93,'[2]Data C 2,4'!$A$2:$S$189,17,0)%</f>
        <v>0.22500000000000001</v>
      </c>
      <c r="E93" s="426">
        <f>D93*TableC4!C93/(1000)</f>
        <v>1.2401607653514422</v>
      </c>
      <c r="F93" s="425">
        <f>+D93*TableC4!D93/(1000)</f>
        <v>0.23426582932561119</v>
      </c>
      <c r="G93" s="427">
        <f t="shared" ref="G93:G99" si="25">+E93-F93</f>
        <v>1.0058949360258309</v>
      </c>
      <c r="H93" s="426"/>
      <c r="I93" s="425"/>
      <c r="J93" s="424"/>
      <c r="K93" s="61">
        <f t="shared" si="22"/>
        <v>0.13378809260727195</v>
      </c>
      <c r="L93" s="38">
        <f t="shared" si="23"/>
        <v>2.5272512519497751E-2</v>
      </c>
      <c r="M93" s="354">
        <f t="shared" si="24"/>
        <v>0.10851558008777419</v>
      </c>
      <c r="N93" s="61"/>
      <c r="O93" s="354"/>
      <c r="P93" s="54"/>
      <c r="Q93" s="56"/>
      <c r="R93" s="513"/>
      <c r="S93" s="56"/>
      <c r="T93" s="56"/>
      <c r="U93" s="56"/>
      <c r="V93" s="56"/>
    </row>
    <row r="94" spans="1:22" x14ac:dyDescent="0.35">
      <c r="A94" s="343"/>
      <c r="B94" s="297" t="s">
        <v>198</v>
      </c>
      <c r="C94" s="394">
        <f>+[9]TableC4d!$C$94</f>
        <v>21.502871950999999</v>
      </c>
      <c r="D94" s="429">
        <f>+VLOOKUP(B94,'[2]Data C 2,4'!$A$2:$S$189,17,0)%</f>
        <v>0.25</v>
      </c>
      <c r="E94" s="426">
        <f>D94*TableC4!C94/(1000)</f>
        <v>2.9952877478343316</v>
      </c>
      <c r="F94" s="425">
        <f>+D94*TableC4!D94/(1000)</f>
        <v>0.46675348320699145</v>
      </c>
      <c r="G94" s="427">
        <f t="shared" si="25"/>
        <v>2.5285342646273401</v>
      </c>
      <c r="H94" s="426"/>
      <c r="I94" s="425"/>
      <c r="J94" s="424"/>
      <c r="K94" s="61">
        <f t="shared" si="22"/>
        <v>0.13929710201780904</v>
      </c>
      <c r="L94" s="38">
        <f t="shared" si="23"/>
        <v>2.1706564791466605E-2</v>
      </c>
      <c r="M94" s="354">
        <f t="shared" si="24"/>
        <v>0.11759053722634244</v>
      </c>
      <c r="N94" s="61"/>
      <c r="O94" s="354"/>
      <c r="P94" s="54"/>
      <c r="Q94" s="56"/>
      <c r="R94" s="513">
        <v>3.2</v>
      </c>
      <c r="S94" s="56"/>
      <c r="T94" s="56"/>
      <c r="U94" s="56"/>
      <c r="V94" s="56"/>
    </row>
    <row r="95" spans="1:22" x14ac:dyDescent="0.35">
      <c r="A95" s="343"/>
      <c r="B95" s="297" t="s">
        <v>222</v>
      </c>
      <c r="C95" s="394">
        <f>+[2]globaltaxrev!$B$116</f>
        <v>23.350930000000002</v>
      </c>
      <c r="D95" s="429">
        <f>+VLOOKUP(B95,'[2]Data C 2,4'!$A$2:$S$189,17,0)%</f>
        <v>0.24</v>
      </c>
      <c r="E95" s="426">
        <f>D95*TableC4!C95/(1000)</f>
        <v>1.6910840569252559</v>
      </c>
      <c r="F95" s="425">
        <f>+D95*TableC4!D95/(1000)</f>
        <v>0.35426315269314496</v>
      </c>
      <c r="G95" s="427">
        <f t="shared" si="25"/>
        <v>1.3368209042321109</v>
      </c>
      <c r="H95" s="426"/>
      <c r="I95" s="425"/>
      <c r="J95" s="424"/>
      <c r="K95" s="61">
        <f t="shared" si="22"/>
        <v>7.2420415671892113E-2</v>
      </c>
      <c r="L95" s="38">
        <f t="shared" si="23"/>
        <v>1.5171265242675343E-2</v>
      </c>
      <c r="M95" s="354">
        <f t="shared" si="24"/>
        <v>5.7249150429216772E-2</v>
      </c>
      <c r="N95" s="61"/>
      <c r="O95" s="354"/>
      <c r="P95" s="54"/>
      <c r="Q95" s="56"/>
      <c r="R95" s="513">
        <v>1.1000000000000001</v>
      </c>
      <c r="S95" s="56"/>
      <c r="T95" s="56"/>
      <c r="U95" s="56"/>
      <c r="V95" s="56"/>
    </row>
    <row r="96" spans="1:22" x14ac:dyDescent="0.35">
      <c r="A96" s="343"/>
      <c r="B96" s="297" t="s">
        <v>240</v>
      </c>
      <c r="C96" s="394">
        <f>+[2]globaltaxrev!$B$119</f>
        <v>5.0382800000000003</v>
      </c>
      <c r="D96" s="429">
        <f>+VLOOKUP(B96,'[2]Data C 2,4'!$A$2:$S$189,17,0)%</f>
        <v>0.3</v>
      </c>
      <c r="E96" s="426">
        <f>D96*TableC4!C96/(1000)</f>
        <v>1.2908196152578273</v>
      </c>
      <c r="F96" s="425">
        <f>+D96*TableC4!D96/(1000)</f>
        <v>0.32083064299702974</v>
      </c>
      <c r="G96" s="427">
        <f t="shared" si="25"/>
        <v>0.9699889722607975</v>
      </c>
      <c r="H96" s="426"/>
      <c r="I96" s="425"/>
      <c r="J96" s="424"/>
      <c r="K96" s="61">
        <f t="shared" si="22"/>
        <v>0.25620243719242025</v>
      </c>
      <c r="L96" s="38">
        <f t="shared" si="23"/>
        <v>6.3678605198009983E-2</v>
      </c>
      <c r="M96" s="354">
        <f t="shared" si="24"/>
        <v>0.19252383199441028</v>
      </c>
      <c r="N96" s="61"/>
      <c r="O96" s="354"/>
      <c r="P96" s="54"/>
      <c r="Q96" s="56"/>
      <c r="R96" s="513">
        <v>1.1000000000000001</v>
      </c>
      <c r="S96" s="56"/>
      <c r="T96" s="56"/>
      <c r="U96" s="56"/>
      <c r="V96" s="56"/>
    </row>
    <row r="97" spans="1:22" x14ac:dyDescent="0.35">
      <c r="A97" s="343"/>
      <c r="B97" s="297" t="s">
        <v>267</v>
      </c>
      <c r="C97" s="394">
        <f>+[2]globaltaxrev!$B$156</f>
        <v>23.624559999999999</v>
      </c>
      <c r="D97" s="429">
        <f>+VLOOKUP(B97,'[2]Data C 2,4'!$A$2:$S$189,17,0)%</f>
        <v>0.2</v>
      </c>
      <c r="E97" s="426">
        <f>D97*TableC4!C97/(1000)</f>
        <v>2.1978859277254812</v>
      </c>
      <c r="F97" s="425">
        <f>+D97*TableC4!D97/(1000)</f>
        <v>0.24826983949410886</v>
      </c>
      <c r="G97" s="427">
        <f t="shared" si="25"/>
        <v>1.9496160882313722</v>
      </c>
      <c r="H97" s="426"/>
      <c r="I97" s="425"/>
      <c r="J97" s="424"/>
      <c r="K97" s="61">
        <f t="shared" si="22"/>
        <v>9.3033941276598642E-2</v>
      </c>
      <c r="L97" s="38">
        <f t="shared" si="23"/>
        <v>1.050897199753599E-2</v>
      </c>
      <c r="M97" s="354">
        <f t="shared" si="24"/>
        <v>8.2524969279062652E-2</v>
      </c>
      <c r="N97" s="61"/>
      <c r="O97" s="354"/>
      <c r="P97" s="54"/>
      <c r="Q97" s="56"/>
      <c r="R97" s="513">
        <v>1.4</v>
      </c>
      <c r="S97" s="56"/>
      <c r="T97" s="56"/>
      <c r="U97" s="56"/>
      <c r="V97" s="56"/>
    </row>
    <row r="98" spans="1:22" x14ac:dyDescent="0.35">
      <c r="A98" s="343"/>
      <c r="B98" s="297" t="s">
        <v>277</v>
      </c>
      <c r="C98" s="394">
        <f>+[2]globaltaxrev!$B$166</f>
        <v>1.6471499999999999</v>
      </c>
      <c r="D98" s="429">
        <f>+VLOOKUP(B98,'[2]Data C 2,4'!$A$2:$S$189,17,0)%</f>
        <v>0.25</v>
      </c>
      <c r="E98" s="426">
        <f>D98*TableC4!C98/(1000)</f>
        <v>0.43037805068238244</v>
      </c>
      <c r="F98" s="425">
        <f>+D98*TableC4!D98/(1000)</f>
        <v>9.8186209311875772E-2</v>
      </c>
      <c r="G98" s="427">
        <f t="shared" si="25"/>
        <v>0.33219184137050667</v>
      </c>
      <c r="H98" s="426"/>
      <c r="I98" s="425"/>
      <c r="J98" s="424"/>
      <c r="K98" s="61">
        <f t="shared" si="22"/>
        <v>0.26128649526902981</v>
      </c>
      <c r="L98" s="38">
        <f t="shared" si="23"/>
        <v>5.9609755827869822E-2</v>
      </c>
      <c r="M98" s="354">
        <f t="shared" si="24"/>
        <v>0.20167673944115999</v>
      </c>
      <c r="N98" s="61"/>
      <c r="O98" s="354"/>
      <c r="P98" s="54"/>
      <c r="Q98" s="56"/>
      <c r="R98" s="513"/>
      <c r="S98" s="56"/>
      <c r="T98" s="56"/>
      <c r="U98" s="56"/>
      <c r="V98" s="56"/>
    </row>
    <row r="99" spans="1:22" x14ac:dyDescent="0.35">
      <c r="A99" s="343"/>
      <c r="B99" s="297" t="s">
        <v>280</v>
      </c>
      <c r="C99" s="394">
        <f>+[9]TableC4d!$C$99</f>
        <v>1.9079665540000001</v>
      </c>
      <c r="D99" s="429">
        <f>+VLOOKUP(B99,'[2]Data C 2,4'!$A$2:$S$189,17,0)%</f>
        <v>0.34</v>
      </c>
      <c r="E99" s="426">
        <f>D99*TableC4!C99/(1000)</f>
        <v>0.37984347821370579</v>
      </c>
      <c r="F99" s="425">
        <f>+D99*TableC4!D99/(1000)</f>
        <v>6.1174857970691977E-2</v>
      </c>
      <c r="G99" s="427">
        <f t="shared" si="25"/>
        <v>0.31866862024301379</v>
      </c>
      <c r="H99" s="426"/>
      <c r="I99" s="425"/>
      <c r="J99" s="424"/>
      <c r="K99" s="61">
        <f t="shared" si="22"/>
        <v>0.19908288089084908</v>
      </c>
      <c r="L99" s="38">
        <f t="shared" si="23"/>
        <v>3.2062856574943906E-2</v>
      </c>
      <c r="M99" s="354">
        <f t="shared" si="24"/>
        <v>0.16702002431590515</v>
      </c>
      <c r="N99" s="61"/>
      <c r="O99" s="354"/>
      <c r="P99" s="54"/>
      <c r="Q99" s="56"/>
      <c r="R99" s="513">
        <v>0.5</v>
      </c>
      <c r="S99" s="56"/>
      <c r="T99" s="56"/>
      <c r="U99" s="56"/>
      <c r="V99" s="56"/>
    </row>
    <row r="100" spans="1:22" s="257" customFormat="1" ht="40" customHeight="1" x14ac:dyDescent="0.35">
      <c r="B100" s="288" t="s">
        <v>327</v>
      </c>
      <c r="C100" s="515">
        <f>+'Table U1'!$D$89</f>
        <v>423.69428213459906</v>
      </c>
      <c r="D100" s="516">
        <f>+'[2]Data C 2,4'!$Q$179%</f>
        <v>0.23809999999999998</v>
      </c>
      <c r="E100" s="517">
        <f>D100*TableC4!C100/(1000)</f>
        <v>40.535198060399772</v>
      </c>
      <c r="F100" s="518">
        <f>+D100*TableC4!D100/(1000)</f>
        <v>11.89805850363266</v>
      </c>
      <c r="G100" s="519">
        <f t="shared" si="20"/>
        <v>28.63713955676711</v>
      </c>
      <c r="H100" s="517">
        <f>D100*TableC4!N100/(1000)</f>
        <v>7.4585759586509592</v>
      </c>
      <c r="I100" s="518">
        <f>+D100*TableC4!O100/(1000)</f>
        <v>0.92877195205852248</v>
      </c>
      <c r="J100" s="520">
        <f t="shared" si="21"/>
        <v>6.5298040065924372</v>
      </c>
      <c r="K100" s="352">
        <f t="shared" ref="K100:P100" si="26">+E100/$C100</f>
        <v>9.5670864039469297E-2</v>
      </c>
      <c r="L100" s="59">
        <f t="shared" si="26"/>
        <v>2.808170656372674E-2</v>
      </c>
      <c r="M100" s="36">
        <f t="shared" si="26"/>
        <v>6.7589157475742553E-2</v>
      </c>
      <c r="N100" s="352">
        <f t="shared" si="26"/>
        <v>1.7603673859071623E-2</v>
      </c>
      <c r="O100" s="521">
        <f t="shared" si="26"/>
        <v>2.1920804486180688E-3</v>
      </c>
      <c r="P100" s="351">
        <f t="shared" si="26"/>
        <v>1.5411593410453558E-2</v>
      </c>
      <c r="Q100" s="42"/>
      <c r="R100" s="514"/>
      <c r="S100" s="42"/>
      <c r="T100" s="42"/>
      <c r="U100" s="42"/>
      <c r="V100" s="42"/>
    </row>
    <row r="101" spans="1:22" ht="40" hidden="1" customHeight="1" x14ac:dyDescent="0.35">
      <c r="B101" s="276"/>
      <c r="C101" s="272"/>
      <c r="D101" s="422"/>
      <c r="E101" s="43">
        <f>D101*TableC4!C101/(1000)</f>
        <v>0</v>
      </c>
      <c r="F101" s="42">
        <f>+D101*TableC4!D101/(1000)</f>
        <v>0</v>
      </c>
      <c r="G101" s="42">
        <f t="shared" si="20"/>
        <v>0</v>
      </c>
      <c r="H101" s="43">
        <f>D101*TableC4!N101/(1000)</f>
        <v>0</v>
      </c>
      <c r="I101" s="42">
        <f>+D101*TableC4!O101/(1000)</f>
        <v>0</v>
      </c>
      <c r="J101" s="380">
        <f t="shared" si="21"/>
        <v>0</v>
      </c>
      <c r="K101" s="421"/>
      <c r="L101" s="40"/>
      <c r="M101" s="40"/>
      <c r="N101" s="421"/>
      <c r="O101" s="420"/>
      <c r="P101" s="419"/>
      <c r="Q101" s="42"/>
      <c r="R101" s="42"/>
      <c r="S101" s="42"/>
      <c r="T101" s="42"/>
      <c r="U101" s="42"/>
      <c r="V101" s="42"/>
    </row>
    <row r="102" spans="1:22" ht="34.5" customHeight="1" thickBot="1" x14ac:dyDescent="0.4">
      <c r="B102" s="264" t="str">
        <f>+TableC3!B91</f>
        <v>Non-haven total</v>
      </c>
      <c r="C102" s="418">
        <f>+C100+C10+C46</f>
        <v>2467.1335694309664</v>
      </c>
      <c r="D102" s="417"/>
      <c r="E102" s="416">
        <f>E100+E46+E10</f>
        <v>246.79318540986088</v>
      </c>
      <c r="F102" s="415">
        <f>F100+F46+F10</f>
        <v>106.72097049160718</v>
      </c>
      <c r="G102" s="415">
        <f t="shared" si="20"/>
        <v>140.07221491825371</v>
      </c>
      <c r="H102" s="416">
        <f>H100+H46+H10</f>
        <v>258.17809224411042</v>
      </c>
      <c r="I102" s="415">
        <f>I100+I46+I10</f>
        <v>135.30035978185862</v>
      </c>
      <c r="J102" s="415">
        <f t="shared" si="21"/>
        <v>122.8777324622518</v>
      </c>
      <c r="K102" s="522">
        <f t="shared" ref="K102:P102" si="27">+E102/$C102</f>
        <v>0.10003235676728385</v>
      </c>
      <c r="L102" s="414">
        <f t="shared" si="27"/>
        <v>4.3257070396971617E-2</v>
      </c>
      <c r="M102" s="414">
        <f t="shared" si="27"/>
        <v>5.6775286370312227E-2</v>
      </c>
      <c r="N102" s="413">
        <f t="shared" si="27"/>
        <v>0.10464698605826116</v>
      </c>
      <c r="O102" s="412">
        <f t="shared" si="27"/>
        <v>5.4841116613343739E-2</v>
      </c>
      <c r="P102" s="411">
        <f t="shared" si="27"/>
        <v>4.9805869444917411E-2</v>
      </c>
      <c r="Q102" s="53"/>
      <c r="R102" s="53"/>
      <c r="S102" s="53"/>
      <c r="T102" s="53"/>
      <c r="U102" s="53"/>
      <c r="V102" s="53"/>
    </row>
    <row r="103" spans="1:22" ht="16" thickTop="1" x14ac:dyDescent="0.35"/>
  </sheetData>
  <mergeCells count="13">
    <mergeCell ref="B4:P4"/>
    <mergeCell ref="E6:J6"/>
    <mergeCell ref="E7:G7"/>
    <mergeCell ref="H7:J7"/>
    <mergeCell ref="E8:E9"/>
    <mergeCell ref="H8:H9"/>
    <mergeCell ref="K6:P6"/>
    <mergeCell ref="K7:M7"/>
    <mergeCell ref="N7:P7"/>
    <mergeCell ref="K8:K9"/>
    <mergeCell ref="N8:N9"/>
    <mergeCell ref="C6:C9"/>
    <mergeCell ref="D6:D9"/>
  </mergeCells>
  <pageMargins left="0.7" right="0.7" top="0.75" bottom="0.75" header="0.3" footer="0.3"/>
  <pageSetup scale="62" fitToHeight="2" orientation="landscape"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AB35-5F43-4A2E-97A7-ACA8FBE04F54}">
  <dimension ref="A1:P10"/>
  <sheetViews>
    <sheetView workbookViewId="0">
      <selection activeCell="J2" sqref="J2:N2"/>
    </sheetView>
  </sheetViews>
  <sheetFormatPr defaultRowHeight="14.5" x14ac:dyDescent="0.35"/>
  <cols>
    <col min="1" max="16384" width="8.7265625" style="663"/>
  </cols>
  <sheetData>
    <row r="1" spans="1:16" x14ac:dyDescent="0.35">
      <c r="A1" s="663" t="s">
        <v>455</v>
      </c>
      <c r="B1" s="664" t="s">
        <v>456</v>
      </c>
      <c r="C1" s="663" t="s">
        <v>457</v>
      </c>
      <c r="D1" s="664" t="s">
        <v>458</v>
      </c>
      <c r="E1" s="663" t="s">
        <v>459</v>
      </c>
      <c r="F1" s="663" t="s">
        <v>460</v>
      </c>
      <c r="G1" s="663" t="s">
        <v>461</v>
      </c>
      <c r="H1" s="663" t="s">
        <v>462</v>
      </c>
      <c r="I1" s="663" t="s">
        <v>463</v>
      </c>
      <c r="J1" s="663" t="s">
        <v>464</v>
      </c>
      <c r="K1" s="663" t="s">
        <v>465</v>
      </c>
      <c r="L1" s="663" t="s">
        <v>466</v>
      </c>
      <c r="M1" s="663" t="s">
        <v>467</v>
      </c>
      <c r="N1" s="663" t="s">
        <v>468</v>
      </c>
      <c r="O1" s="663" t="s">
        <v>469</v>
      </c>
      <c r="P1" s="663" t="s">
        <v>470</v>
      </c>
    </row>
    <row r="2" spans="1:16" x14ac:dyDescent="0.35">
      <c r="A2" s="663" t="s">
        <v>471</v>
      </c>
      <c r="B2" s="664" t="s">
        <v>472</v>
      </c>
      <c r="C2" s="663" t="s">
        <v>473</v>
      </c>
      <c r="D2" s="664" t="s">
        <v>474</v>
      </c>
      <c r="E2" s="663">
        <v>15.802938251987564</v>
      </c>
      <c r="F2" s="663">
        <v>15.665791836504388</v>
      </c>
      <c r="G2" s="663">
        <v>16.494416436466278</v>
      </c>
      <c r="H2" s="663">
        <v>16.637102443630265</v>
      </c>
      <c r="I2" s="663">
        <v>16.802408362635443</v>
      </c>
      <c r="J2" s="663">
        <v>17.047442363087278</v>
      </c>
      <c r="K2" s="663">
        <v>17.064440194124401</v>
      </c>
      <c r="L2" s="663">
        <v>16.938735178395316</v>
      </c>
      <c r="M2" s="663">
        <v>17.236719819218727</v>
      </c>
      <c r="N2" s="663">
        <v>17.434189233963973</v>
      </c>
      <c r="O2" s="663">
        <v>18.515699851037414</v>
      </c>
      <c r="P2" s="663" t="s">
        <v>475</v>
      </c>
    </row>
    <row r="3" spans="1:16" x14ac:dyDescent="0.35">
      <c r="B3" s="664"/>
      <c r="D3" s="664"/>
    </row>
    <row r="4" spans="1:16" x14ac:dyDescent="0.35">
      <c r="B4" s="664"/>
      <c r="D4" s="664"/>
    </row>
    <row r="5" spans="1:16" x14ac:dyDescent="0.35">
      <c r="B5" s="664"/>
      <c r="D5" s="664"/>
    </row>
    <row r="6" spans="1:16" x14ac:dyDescent="0.35">
      <c r="A6" s="663" t="s">
        <v>476</v>
      </c>
      <c r="B6" s="664"/>
      <c r="D6" s="664"/>
    </row>
    <row r="7" spans="1:16" x14ac:dyDescent="0.35">
      <c r="A7" s="663" t="s">
        <v>477</v>
      </c>
    </row>
    <row r="9" spans="1:16" x14ac:dyDescent="0.35">
      <c r="A9" s="663" t="s">
        <v>478</v>
      </c>
      <c r="B9" s="663" t="s">
        <v>479</v>
      </c>
      <c r="C9" s="663" t="s">
        <v>480</v>
      </c>
      <c r="D9" s="663" t="s">
        <v>481</v>
      </c>
      <c r="E9" s="663" t="s">
        <v>482</v>
      </c>
      <c r="F9" s="663" t="s">
        <v>483</v>
      </c>
      <c r="G9" s="663" t="s">
        <v>484</v>
      </c>
      <c r="H9" s="663" t="s">
        <v>485</v>
      </c>
      <c r="I9" s="663" t="s">
        <v>486</v>
      </c>
    </row>
    <row r="10" spans="1:16" x14ac:dyDescent="0.35">
      <c r="A10" s="663" t="s">
        <v>472</v>
      </c>
      <c r="B10" s="663" t="s">
        <v>487</v>
      </c>
      <c r="C10" s="663" t="s">
        <v>471</v>
      </c>
      <c r="D10" s="663" t="s">
        <v>488</v>
      </c>
      <c r="E10" s="663" t="s">
        <v>489</v>
      </c>
      <c r="F10" s="663" t="s">
        <v>490</v>
      </c>
      <c r="G10" s="663" t="s">
        <v>491</v>
      </c>
      <c r="H10" s="663" t="s">
        <v>492</v>
      </c>
      <c r="I10" s="663" t="s">
        <v>493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
  <sheetViews>
    <sheetView zoomScale="70" zoomScaleNormal="70" workbookViewId="0">
      <pane xSplit="2" ySplit="1" topLeftCell="C8" activePane="bottomRight" state="frozen"/>
      <selection activeCell="H64" sqref="B2:O64"/>
      <selection pane="topRight" activeCell="H64" sqref="B2:O64"/>
      <selection pane="bottomLeft" activeCell="H64" sqref="B2:O64"/>
      <selection pane="bottomRight" activeCell="D40" sqref="D40"/>
    </sheetView>
  </sheetViews>
  <sheetFormatPr defaultColWidth="12" defaultRowHeight="15.5" x14ac:dyDescent="0.35"/>
  <cols>
    <col min="1" max="1" width="12" style="456" customWidth="1"/>
    <col min="2" max="2" width="18.81640625" style="456" customWidth="1"/>
    <col min="3" max="16384" width="12" style="456"/>
  </cols>
  <sheetData>
    <row r="1" spans="1:13" s="448" customFormat="1" ht="46.5" x14ac:dyDescent="0.35">
      <c r="C1" s="449" t="s">
        <v>436</v>
      </c>
      <c r="D1" s="449" t="s">
        <v>449</v>
      </c>
      <c r="E1" s="449" t="s">
        <v>435</v>
      </c>
      <c r="F1" s="449" t="s">
        <v>433</v>
      </c>
      <c r="G1" s="449" t="s">
        <v>432</v>
      </c>
      <c r="H1" s="457" t="s">
        <v>450</v>
      </c>
      <c r="I1" s="449"/>
      <c r="J1" s="449"/>
      <c r="K1" s="449"/>
      <c r="L1" s="449" t="s">
        <v>449</v>
      </c>
      <c r="M1" s="457" t="s">
        <v>450</v>
      </c>
    </row>
    <row r="2" spans="1:13" s="448" customFormat="1" x14ac:dyDescent="0.35">
      <c r="A2" s="448" t="str">
        <f>+B2</f>
        <v>Puerto Rico</v>
      </c>
      <c r="B2" s="450" t="str">
        <f>[6]DataF3!A4</f>
        <v>Puerto Rico</v>
      </c>
      <c r="C2" s="452">
        <f>[6]DataF3!G4</f>
        <v>0.47996308817683037</v>
      </c>
      <c r="D2" s="452">
        <f>+VLOOKUP(B2,'Table U1'!B:AD,26,0)</f>
        <v>0.76</v>
      </c>
      <c r="E2" s="459">
        <f t="shared" ref="E2:E9" si="0">F2-C2</f>
        <v>16.265571541041854</v>
      </c>
      <c r="F2" s="452">
        <f>[6]DataF3!H4</f>
        <v>16.745534629218685</v>
      </c>
      <c r="G2" s="452">
        <f>[6]DataF3!F$2</f>
        <v>0.36081676937669838</v>
      </c>
      <c r="H2" s="458">
        <f>+VLOOKUP(B2,'Table U1'!B:AD,27,0)</f>
        <v>16.862905290693288</v>
      </c>
      <c r="J2" s="448" t="s">
        <v>122</v>
      </c>
      <c r="K2" s="456" t="str">
        <f>+J2</f>
        <v>Puerto Rico</v>
      </c>
      <c r="L2" s="452">
        <f>+VLOOKUP(J2,'Table U1'!B:AD,26,0)</f>
        <v>0.76</v>
      </c>
      <c r="M2" s="458">
        <f>+VLOOKUP(J2,'Table U1'!B:AD,27,0)</f>
        <v>16.862905290693288</v>
      </c>
    </row>
    <row r="3" spans="1:13" x14ac:dyDescent="0.35">
      <c r="A3" s="456" t="str">
        <f t="shared" ref="A3:A9" si="1">B3</f>
        <v>Ireland</v>
      </c>
      <c r="B3" s="450" t="str">
        <f>[6]DataF3!A3</f>
        <v>Ireland</v>
      </c>
      <c r="C3" s="452">
        <f>[6]DataF3!G3</f>
        <v>0.68416351867003244</v>
      </c>
      <c r="D3" s="452">
        <f>+VLOOKUP(B3,'Table U1'!B:AD,26,0)</f>
        <v>0.54108783602452259</v>
      </c>
      <c r="E3" s="459">
        <f t="shared" si="0"/>
        <v>7.3154855390908962</v>
      </c>
      <c r="F3" s="452">
        <f>[6]DataF3!H3</f>
        <v>7.9996490577609283</v>
      </c>
      <c r="G3" s="452">
        <f>[6]DataF3!F$2</f>
        <v>0.36081676937669838</v>
      </c>
      <c r="H3" s="458">
        <f>+VLOOKUP(B3,'Table U1'!B:AD,27,0)</f>
        <v>4.8707667565440245</v>
      </c>
      <c r="J3" s="456" t="s">
        <v>52</v>
      </c>
      <c r="K3" s="456" t="str">
        <f>+J3</f>
        <v>Luxembourg</v>
      </c>
      <c r="L3" s="452">
        <f>+VLOOKUP(J3,'Table U1'!B:AD,26,0)</f>
        <v>0.19095368512060182</v>
      </c>
      <c r="M3" s="458">
        <f>+VLOOKUP(J3,'Table U1'!B:AD,27,0)</f>
        <v>6.0017309947145581</v>
      </c>
    </row>
    <row r="4" spans="1:13" x14ac:dyDescent="0.35">
      <c r="A4" s="456" t="str">
        <f t="shared" si="1"/>
        <v>Luxembourg</v>
      </c>
      <c r="B4" s="450" t="str">
        <f>[6]DataF3!A2</f>
        <v>Luxembourg</v>
      </c>
      <c r="C4" s="452">
        <f>[6]DataF3!G2</f>
        <v>0.40461450275815142</v>
      </c>
      <c r="D4" s="452">
        <f>+VLOOKUP(B4,'Table U1'!B:AD,26,0)</f>
        <v>0.19095368512060182</v>
      </c>
      <c r="E4" s="459">
        <f t="shared" si="0"/>
        <v>4.2030394790209336</v>
      </c>
      <c r="F4" s="452">
        <f>[6]DataF3!H2</f>
        <v>4.6076539817790847</v>
      </c>
      <c r="G4" s="452">
        <f>[6]DataF3!F$2</f>
        <v>0.36081676937669838</v>
      </c>
      <c r="H4" s="458">
        <f>+VLOOKUP(B4,'Table U1'!B:AD,27,0)</f>
        <v>6.0017309947145581</v>
      </c>
      <c r="J4" s="456" t="s">
        <v>46</v>
      </c>
      <c r="K4" s="456" t="str">
        <f>+J4</f>
        <v>Ireland</v>
      </c>
      <c r="L4" s="452">
        <f>+VLOOKUP(J4,'Table U1'!B:AD,26,0)</f>
        <v>0.54108783602452259</v>
      </c>
      <c r="M4" s="458">
        <f>+VLOOKUP(J4,'Table U1'!B:AD,27,0)</f>
        <v>4.8707667565440245</v>
      </c>
    </row>
    <row r="5" spans="1:13" x14ac:dyDescent="0.35">
      <c r="A5" s="456" t="str">
        <f t="shared" si="1"/>
        <v>Switzerland</v>
      </c>
      <c r="B5" s="456" t="s">
        <v>63</v>
      </c>
      <c r="C5" s="454">
        <f>+[6]DataF3!G16</f>
        <v>0.11438915202699569</v>
      </c>
      <c r="D5" s="452">
        <f>+VLOOKUP(B5,'Table U1'!B:AD,26,0)</f>
        <v>-3.3302306063196528E-2</v>
      </c>
      <c r="E5" s="459">
        <f t="shared" si="0"/>
        <v>3.0790748312803982</v>
      </c>
      <c r="F5" s="454">
        <f>+[6]DataF3!H16</f>
        <v>3.1934639833073937</v>
      </c>
      <c r="G5" s="454"/>
      <c r="H5" s="458">
        <f>+VLOOKUP(B5,'Table U1'!B:AD,27,0)</f>
        <v>3.3774033365510201</v>
      </c>
      <c r="J5" s="456" t="s">
        <v>116</v>
      </c>
      <c r="K5" s="456" t="str">
        <f t="shared" ref="K5:K17" si="2">+J5</f>
        <v>Singapore</v>
      </c>
      <c r="L5" s="452">
        <f>+VLOOKUP(J5,'Table U1'!B:AD,26,0)</f>
        <v>0.76</v>
      </c>
      <c r="M5" s="458">
        <f>+VLOOKUP(J5,'Table U1'!B:AD,27,0)</f>
        <v>3.4772954302010231</v>
      </c>
    </row>
    <row r="6" spans="1:13" x14ac:dyDescent="0.35">
      <c r="A6" s="456" t="str">
        <f t="shared" si="1"/>
        <v>Singapore</v>
      </c>
      <c r="B6" s="450" t="str">
        <f>[6]DataF3!A5</f>
        <v>Singapore</v>
      </c>
      <c r="C6" s="452">
        <f>[6]DataF3!G5</f>
        <v>0.47996308817683037</v>
      </c>
      <c r="D6" s="452">
        <f>+VLOOKUP(B6,'Table U1'!B:AD,26,0)</f>
        <v>0.76</v>
      </c>
      <c r="E6" s="459">
        <f t="shared" si="0"/>
        <v>1.7015124436330518</v>
      </c>
      <c r="F6" s="452">
        <f>[6]DataF3!H5</f>
        <v>2.1814755318098822</v>
      </c>
      <c r="G6" s="452">
        <f>[6]DataF3!F$2</f>
        <v>0.36081676937669838</v>
      </c>
      <c r="H6" s="458">
        <f>+VLOOKUP(B6,'Table U1'!B:AD,27,0)</f>
        <v>3.4772954302010231</v>
      </c>
      <c r="J6" s="456" t="s">
        <v>63</v>
      </c>
      <c r="K6" s="456" t="str">
        <f t="shared" si="2"/>
        <v>Switzerland</v>
      </c>
      <c r="L6" s="452">
        <f>+VLOOKUP(J6,'Table U1'!B:AD,26,0)</f>
        <v>-3.3302306063196528E-2</v>
      </c>
      <c r="M6" s="458">
        <f>+VLOOKUP(J6,'Table U1'!B:AD,27,0)</f>
        <v>3.3774033365510201</v>
      </c>
    </row>
    <row r="7" spans="1:13" x14ac:dyDescent="0.35">
      <c r="A7" s="456" t="str">
        <f t="shared" si="1"/>
        <v>Hong Kong</v>
      </c>
      <c r="B7" s="450" t="str">
        <f>[6]DataF3!A6</f>
        <v>Hong Kong</v>
      </c>
      <c r="C7" s="452">
        <f>[6]DataF3!G6</f>
        <v>0.47996308817683037</v>
      </c>
      <c r="D7" s="452">
        <f>+VLOOKUP(B7,'Table U1'!B:AD,26,0)</f>
        <v>0.76</v>
      </c>
      <c r="E7" s="459">
        <f t="shared" si="0"/>
        <v>1.6549275502967551</v>
      </c>
      <c r="F7" s="452">
        <f>[6]DataF3!H6</f>
        <v>2.1348906384735855</v>
      </c>
      <c r="G7" s="452">
        <f>[6]DataF3!F$2</f>
        <v>0.36081676937669838</v>
      </c>
      <c r="H7" s="458">
        <f>+VLOOKUP(B7,'Table U1'!B:AD,27,0)</f>
        <v>1.5424815237852951</v>
      </c>
      <c r="J7" s="456" t="s">
        <v>54</v>
      </c>
      <c r="K7" s="456" t="str">
        <f t="shared" si="2"/>
        <v>Netherlands</v>
      </c>
      <c r="L7" s="452">
        <f>+VLOOKUP(J7,'Table U1'!B:AD,26,0)</f>
        <v>0.29451624027613532</v>
      </c>
      <c r="M7" s="458">
        <f>+VLOOKUP(J7,'Table U1'!B:AD,27,0)</f>
        <v>1.4446025190750047</v>
      </c>
    </row>
    <row r="8" spans="1:13" x14ac:dyDescent="0.35">
      <c r="A8" s="456" t="str">
        <f t="shared" si="1"/>
        <v>Netherlands</v>
      </c>
      <c r="B8" s="450" t="str">
        <f>[6]DataF3!A7</f>
        <v>Netherlands</v>
      </c>
      <c r="C8" s="452">
        <f>[6]DataF3!G7</f>
        <v>0.41153378760859277</v>
      </c>
      <c r="D8" s="452">
        <f>+VLOOKUP(B8,'Table U1'!B:AD,26,0)</f>
        <v>0.29451624027613532</v>
      </c>
      <c r="E8" s="459">
        <f t="shared" si="0"/>
        <v>0.73803680925792792</v>
      </c>
      <c r="F8" s="452">
        <f>[6]DataF3!H7</f>
        <v>1.1495705968665206</v>
      </c>
      <c r="G8" s="452">
        <f>[6]DataF3!F$2</f>
        <v>0.36081676937669838</v>
      </c>
      <c r="H8" s="458">
        <f>+VLOOKUP(B8,'Table U1'!B:AD,27,0)</f>
        <v>1.4446025190750047</v>
      </c>
      <c r="J8" s="456" t="s">
        <v>328</v>
      </c>
      <c r="K8" s="456" t="str">
        <f t="shared" si="2"/>
        <v>Hong Kong</v>
      </c>
      <c r="L8" s="452">
        <f>+VLOOKUP(J8,'Table U1'!B:AD,26,0)</f>
        <v>0.76</v>
      </c>
      <c r="M8" s="458">
        <f>+VLOOKUP(J8,'Table U1'!B:AD,27,0)</f>
        <v>1.5424815237852951</v>
      </c>
    </row>
    <row r="9" spans="1:13" x14ac:dyDescent="0.35">
      <c r="A9" s="456" t="str">
        <f t="shared" si="1"/>
        <v>Belgium</v>
      </c>
      <c r="B9" s="453" t="str">
        <f>[6]DataF3!A8</f>
        <v>Belgium</v>
      </c>
      <c r="C9" s="460">
        <f>[6]DataF3!G8</f>
        <v>0.4031489417707429</v>
      </c>
      <c r="D9" s="452">
        <f>+VLOOKUP(B9,'Table U1'!B:AD,26,0)</f>
        <v>0.23294830778779776</v>
      </c>
      <c r="E9" s="459">
        <f t="shared" si="0"/>
        <v>0.2766520914996401</v>
      </c>
      <c r="F9" s="460">
        <f>[6]DataF3!H8</f>
        <v>0.67980103327038299</v>
      </c>
      <c r="G9" s="452">
        <f>[6]DataF3!F$2</f>
        <v>0.36081676937669838</v>
      </c>
      <c r="H9" s="458">
        <f>+VLOOKUP(B9,'Table U1'!B:AD,27,0)</f>
        <v>0.99897633686674714</v>
      </c>
      <c r="J9" s="456" t="s">
        <v>34</v>
      </c>
      <c r="K9" s="456" t="str">
        <f t="shared" si="2"/>
        <v>Belgium</v>
      </c>
      <c r="L9" s="452">
        <f>+VLOOKUP(J9,'Table U1'!B:AD,26,0)</f>
        <v>0.23294830778779776</v>
      </c>
      <c r="M9" s="458">
        <f>+VLOOKUP(J9,'Table U1'!B:AD,27,0)</f>
        <v>0.99897633686674714</v>
      </c>
    </row>
    <row r="10" spans="1:13" x14ac:dyDescent="0.35">
      <c r="A10" s="456" t="s">
        <v>354</v>
      </c>
      <c r="B10" s="453" t="s">
        <v>66</v>
      </c>
      <c r="C10" s="455">
        <f>VLOOKUP(B10,[3]TableA7!$A$9:$Q$89,15,)</f>
        <v>0.3159171001923794</v>
      </c>
      <c r="D10" s="452">
        <f>+VLOOKUP(B10,'Table U1'!B:AD,26,0)</f>
        <v>0.27820831387146505</v>
      </c>
      <c r="E10" s="459"/>
      <c r="F10" s="455">
        <f>VLOOKUP(B10,[3]TableA7!$A$9:$Q$89,13,)</f>
        <v>0.28343272646330486</v>
      </c>
      <c r="G10" s="452">
        <f>[6]DataF3!F$2</f>
        <v>0.36081676937669838</v>
      </c>
      <c r="H10" s="458">
        <f>+VLOOKUP(B10,'Table U1'!B:AD,27,0)</f>
        <v>0.3265232684118976</v>
      </c>
      <c r="J10" s="456" t="s">
        <v>66</v>
      </c>
      <c r="K10" s="456" t="s">
        <v>354</v>
      </c>
      <c r="L10" s="452">
        <f>+VLOOKUP(J10,'Table U1'!B:AD,26,0)</f>
        <v>0.27820831387146505</v>
      </c>
      <c r="M10" s="458">
        <f>+VLOOKUP(J10,'Table U1'!B:AD,27,0)</f>
        <v>0.3265232684118976</v>
      </c>
    </row>
    <row r="11" spans="1:13" x14ac:dyDescent="0.35">
      <c r="A11" s="456" t="str">
        <f>B11</f>
        <v>Australia</v>
      </c>
      <c r="B11" s="453" t="s">
        <v>32</v>
      </c>
      <c r="C11" s="455">
        <f>VLOOKUP(B11,[3]TableA7!$A$9:$Q$89,15,)</f>
        <v>0.38244922547378107</v>
      </c>
      <c r="D11" s="452">
        <f>+VLOOKUP(B11,'Table U1'!B:AD,26,0)</f>
        <v>0.52575025250045815</v>
      </c>
      <c r="E11" s="459"/>
      <c r="F11" s="455">
        <f>VLOOKUP(B11,[3]TableA7!$A$9:$Q$89,13,)</f>
        <v>0.27383940346897767</v>
      </c>
      <c r="G11" s="452">
        <f>[6]DataF3!F$2</f>
        <v>0.36081676937669838</v>
      </c>
      <c r="H11" s="458">
        <f>+VLOOKUP(B11,'Table U1'!B:AD,27,0)</f>
        <v>0.27383940346897767</v>
      </c>
      <c r="J11" s="456" t="s">
        <v>65</v>
      </c>
      <c r="K11" s="456" t="s">
        <v>434</v>
      </c>
      <c r="L11" s="452">
        <f>+VLOOKUP(J11,'Table U1'!B:AD,26,0)</f>
        <v>0.40806462381467962</v>
      </c>
      <c r="M11" s="458">
        <f>+VLOOKUP(J11,'Table U1'!B:AD,27,0)</f>
        <v>0.21706324018579973</v>
      </c>
    </row>
    <row r="12" spans="1:13" x14ac:dyDescent="0.35">
      <c r="A12" s="456" t="s">
        <v>434</v>
      </c>
      <c r="B12" s="450" t="s">
        <v>65</v>
      </c>
      <c r="C12" s="451">
        <f>VLOOKUP(B12,[3]TableA7!$A$9:$Q$89,15,)</f>
        <v>0.48210280844721259</v>
      </c>
      <c r="D12" s="452">
        <f>+VLOOKUP(B12,'Table U1'!B:AD,26,0)</f>
        <v>0.40806462381467962</v>
      </c>
      <c r="E12" s="459"/>
      <c r="F12" s="451">
        <f>VLOOKUP(B12,[3]TableA7!$A$9:$Q$89,13,)</f>
        <v>0.25723407405999843</v>
      </c>
      <c r="G12" s="452">
        <f>[6]DataF3!F$2</f>
        <v>0.36081676937669838</v>
      </c>
      <c r="H12" s="458">
        <f>+VLOOKUP(B12,'Table U1'!B:AD,27,0)</f>
        <v>0.21706324018579973</v>
      </c>
      <c r="J12" s="456" t="s">
        <v>32</v>
      </c>
      <c r="K12" s="456" t="str">
        <f t="shared" si="2"/>
        <v>Australia</v>
      </c>
      <c r="L12" s="452">
        <f>+VLOOKUP(J12,'Table U1'!B:AD,26,0)</f>
        <v>0.52575025250045815</v>
      </c>
      <c r="M12" s="458">
        <f>+VLOOKUP(J12,'Table U1'!B:AD,27,0)</f>
        <v>0.27383940346897767</v>
      </c>
    </row>
    <row r="13" spans="1:13" x14ac:dyDescent="0.35">
      <c r="A13" s="456" t="str">
        <f>B13</f>
        <v>Spain</v>
      </c>
      <c r="B13" s="450" t="s">
        <v>61</v>
      </c>
      <c r="C13" s="451">
        <f>VLOOKUP(B13,[3]TableA7!$A$9:$Q$89,15,)</f>
        <v>0.44755015816737814</v>
      </c>
      <c r="D13" s="452">
        <f>+VLOOKUP(B13,'Table U1'!B:AD,26,0)</f>
        <v>0.47173462040918634</v>
      </c>
      <c r="E13" s="459"/>
      <c r="F13" s="451">
        <f>VLOOKUP(B13,[3]TableA7!$A$9:$Q$89,13,)</f>
        <v>0.24643753940062663</v>
      </c>
      <c r="G13" s="452">
        <f>[6]DataF3!F$2</f>
        <v>0.36081676937669838</v>
      </c>
      <c r="H13" s="458">
        <f>+VLOOKUP(B13,'Table U1'!B:AD,27,0)</f>
        <v>0.34409825077208978</v>
      </c>
      <c r="J13" s="456" t="s">
        <v>61</v>
      </c>
      <c r="K13" s="456" t="str">
        <f t="shared" si="2"/>
        <v>Spain</v>
      </c>
      <c r="L13" s="452">
        <f>+VLOOKUP(J13,'Table U1'!B:AD,26,0)</f>
        <v>0.47173462040918634</v>
      </c>
      <c r="M13" s="458">
        <f>+VLOOKUP(J13,'Table U1'!B:AD,27,0)</f>
        <v>0.34409825077208978</v>
      </c>
    </row>
    <row r="14" spans="1:13" x14ac:dyDescent="0.35">
      <c r="A14" s="456" t="str">
        <f>B14</f>
        <v>Japan</v>
      </c>
      <c r="B14" s="448" t="s">
        <v>49</v>
      </c>
      <c r="C14" s="451">
        <f>VLOOKUP(B14,[3]TableA7!$A$9:$Q$89,15,)</f>
        <v>0.43664443770241151</v>
      </c>
      <c r="D14" s="452">
        <f>+VLOOKUP(B14,'Table U1'!B:AD,26,0)</f>
        <v>0.28484583168710542</v>
      </c>
      <c r="E14" s="459"/>
      <c r="F14" s="451">
        <f>VLOOKUP(B14,[3]TableA7!$A$9:$Q$89,13,)</f>
        <v>0.23732566147384185</v>
      </c>
      <c r="G14" s="452">
        <f>[6]DataF3!F$2</f>
        <v>0.36081676937669838</v>
      </c>
      <c r="H14" s="458">
        <f>+VLOOKUP(B14,'Table U1'!B:AD,27,0)</f>
        <v>0.20772630191097127</v>
      </c>
      <c r="J14" s="456" t="s">
        <v>41</v>
      </c>
      <c r="K14" s="456" t="str">
        <f t="shared" si="2"/>
        <v>France</v>
      </c>
      <c r="L14" s="452">
        <f>+VLOOKUP(J14,'Table U1'!B:AD,26,0)</f>
        <v>0.22294349652989498</v>
      </c>
      <c r="M14" s="458">
        <f>+VLOOKUP(J14,'Table U1'!B:AD,27,0)</f>
        <v>0.24101540294309456</v>
      </c>
    </row>
    <row r="15" spans="1:13" x14ac:dyDescent="0.35">
      <c r="A15" s="456" t="str">
        <f>B15</f>
        <v>France</v>
      </c>
      <c r="B15" s="453" t="s">
        <v>41</v>
      </c>
      <c r="C15" s="455">
        <f>VLOOKUP(B15,[3]TableA7!$A$9:$Q$89,15,)</f>
        <v>0.2171009289647885</v>
      </c>
      <c r="D15" s="452">
        <f>+VLOOKUP(B15,'Table U1'!B:AD,26,0)</f>
        <v>0.22294349652989498</v>
      </c>
      <c r="E15" s="459"/>
      <c r="F15" s="455">
        <f>VLOOKUP(B15,[3]TableA7!$A$9:$Q$89,13,)</f>
        <v>0.2071972615008727</v>
      </c>
      <c r="G15" s="452">
        <f>[6]DataF3!F$2</f>
        <v>0.36081676937669838</v>
      </c>
      <c r="H15" s="458">
        <f>+VLOOKUP(B15,'Table U1'!B:AD,27,0)</f>
        <v>0.24101540294309456</v>
      </c>
      <c r="J15" s="456" t="s">
        <v>49</v>
      </c>
      <c r="K15" s="456" t="str">
        <f t="shared" si="2"/>
        <v>Japan</v>
      </c>
      <c r="L15" s="452">
        <f>+VLOOKUP(J15,'Table U1'!B:AD,26,0)</f>
        <v>0.28484583168710542</v>
      </c>
      <c r="M15" s="458">
        <f>+VLOOKUP(J15,'Table U1'!B:AD,27,0)</f>
        <v>0.20772630191097127</v>
      </c>
    </row>
    <row r="16" spans="1:13" x14ac:dyDescent="0.35">
      <c r="A16" s="456" t="str">
        <f>B16</f>
        <v>Germany</v>
      </c>
      <c r="B16" s="450" t="str">
        <f>[6]DataF3!A9</f>
        <v>Germany</v>
      </c>
      <c r="C16" s="452">
        <f>[6]DataF3!G9</f>
        <v>0.51589201053413136</v>
      </c>
      <c r="D16" s="452">
        <f>+VLOOKUP(B16,'Table U1'!B:AD,26,0)</f>
        <v>0.3845114590321328</v>
      </c>
      <c r="E16" s="459"/>
      <c r="F16" s="452">
        <f>[6]DataF3!H9</f>
        <v>0.18304850872360104</v>
      </c>
      <c r="G16" s="452">
        <f>[6]DataF3!F$2</f>
        <v>0.36081676937669838</v>
      </c>
      <c r="H16" s="458">
        <f>+VLOOKUP(B16,'Table U1'!B:AD,27,0)</f>
        <v>0.14290749225546756</v>
      </c>
      <c r="J16" s="456" t="s">
        <v>48</v>
      </c>
      <c r="K16" s="456" t="str">
        <f t="shared" si="2"/>
        <v>Italy</v>
      </c>
      <c r="L16" s="452">
        <f>+VLOOKUP(J16,'Table U1'!B:AD,26,0)</f>
        <v>0.56662222839179799</v>
      </c>
      <c r="M16" s="458">
        <f>+VLOOKUP(J16,'Table U1'!B:AD,27,0)</f>
        <v>0.19299422392759616</v>
      </c>
    </row>
    <row r="17" spans="1:13" x14ac:dyDescent="0.35">
      <c r="A17" s="456" t="str">
        <f>B17</f>
        <v>Italy</v>
      </c>
      <c r="B17" s="453" t="s">
        <v>48</v>
      </c>
      <c r="C17" s="455">
        <f>VLOOKUP(B17,[3]TableA7!$A$9:$Q$89,15,)</f>
        <v>0.48415758018996907</v>
      </c>
      <c r="D17" s="452">
        <f>+VLOOKUP(B17,'Table U1'!B:AD,26,0)</f>
        <v>0.56662222839179799</v>
      </c>
      <c r="E17" s="459"/>
      <c r="F17" s="455">
        <f>VLOOKUP(B17,[3]TableA7!$A$9:$Q$89,13,)</f>
        <v>0.16233602672515596</v>
      </c>
      <c r="G17" s="452">
        <f>[6]DataF3!F$2</f>
        <v>0.36081676937669838</v>
      </c>
      <c r="H17" s="458">
        <f>+VLOOKUP(B17,'Table U1'!B:AD,27,0)</f>
        <v>0.19299422392759616</v>
      </c>
      <c r="J17" s="456" t="s">
        <v>42</v>
      </c>
      <c r="K17" s="456" t="str">
        <f t="shared" si="2"/>
        <v>Germany</v>
      </c>
      <c r="L17" s="452">
        <f>+VLOOKUP(J17,'Table U1'!B:AD,26,0)</f>
        <v>0.3845114590321328</v>
      </c>
      <c r="M17" s="458">
        <f>+VLOOKUP(J17,'Table U1'!B:AD,27,0)</f>
        <v>0.14290749225546756</v>
      </c>
    </row>
  </sheetData>
  <sortState xmlns:xlrd2="http://schemas.microsoft.com/office/spreadsheetml/2017/richdata2" ref="J2:M17">
    <sortCondition descending="1" ref="M2:M17"/>
  </sortState>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1:P63"/>
  <sheetViews>
    <sheetView topLeftCell="A6" workbookViewId="0">
      <selection activeCell="H64" sqref="B2:O64"/>
    </sheetView>
  </sheetViews>
  <sheetFormatPr defaultColWidth="8.81640625" defaultRowHeight="15.5" x14ac:dyDescent="0.35"/>
  <cols>
    <col min="3" max="3" width="15.81640625" bestFit="1" customWidth="1"/>
    <col min="4" max="6" width="16.453125" style="493" customWidth="1"/>
    <col min="8" max="8" width="15.81640625" bestFit="1" customWidth="1"/>
    <col min="9" max="11" width="16.453125" style="493" customWidth="1"/>
  </cols>
  <sheetData>
    <row r="1" spans="3:16" ht="16" thickBot="1" x14ac:dyDescent="0.4"/>
    <row r="2" spans="3:16" ht="20" thickTop="1" x14ac:dyDescent="0.35">
      <c r="D2" s="551" t="s">
        <v>437</v>
      </c>
      <c r="E2" s="551"/>
      <c r="F2" s="551"/>
      <c r="I2" s="551" t="s">
        <v>437</v>
      </c>
      <c r="J2" s="551"/>
      <c r="K2" s="551"/>
    </row>
    <row r="3" spans="3:16" ht="39" x14ac:dyDescent="0.35">
      <c r="D3" s="494">
        <v>2015</v>
      </c>
      <c r="E3" s="494">
        <v>2019</v>
      </c>
      <c r="F3" s="494" t="s">
        <v>448</v>
      </c>
      <c r="I3" s="494">
        <v>2015</v>
      </c>
      <c r="J3" s="494">
        <v>2019</v>
      </c>
      <c r="K3" s="494" t="s">
        <v>448</v>
      </c>
      <c r="L3" t="s">
        <v>454</v>
      </c>
      <c r="M3" t="s">
        <v>453</v>
      </c>
    </row>
    <row r="4" spans="3:16" ht="19.5" x14ac:dyDescent="0.45">
      <c r="C4" s="491" t="str">
        <f>+'Table A'!B5</f>
        <v>Australia</v>
      </c>
      <c r="D4" s="492">
        <f>+'Table A'!J5</f>
        <v>6.7825450297755593E-2</v>
      </c>
      <c r="E4" s="492">
        <f>+'Table A'!N5</f>
        <v>0.13796919947353922</v>
      </c>
      <c r="F4" s="492">
        <f>+'Table A'!O5</f>
        <v>7.0143749175783629E-2</v>
      </c>
      <c r="G4" s="491"/>
      <c r="H4" s="491" t="s">
        <v>65</v>
      </c>
      <c r="I4" s="492">
        <f t="shared" ref="I4:K24" si="0">+VLOOKUP($H4,$C:$F,MATCH(I$3,$C$3:$F$3,0),0)</f>
        <v>0.17522636389555327</v>
      </c>
      <c r="J4" s="492">
        <f t="shared" si="0"/>
        <v>0.3199088142842143</v>
      </c>
      <c r="K4" s="492">
        <f t="shared" si="0"/>
        <v>0.14468245038866104</v>
      </c>
      <c r="L4" s="495">
        <v>0.1</v>
      </c>
      <c r="M4" s="495">
        <v>0.09</v>
      </c>
      <c r="N4" s="491"/>
      <c r="O4" s="491"/>
      <c r="P4" s="491"/>
    </row>
    <row r="5" spans="3:16" ht="19.5" x14ac:dyDescent="0.45">
      <c r="C5" s="491" t="str">
        <f>+'Table A'!B6</f>
        <v>Austria</v>
      </c>
      <c r="D5" s="492">
        <f>+'Table A'!J6</f>
        <v>0.10563501241772515</v>
      </c>
      <c r="E5" s="492">
        <f>+'Table A'!N6</f>
        <v>9.7607757291373373E-2</v>
      </c>
      <c r="F5" s="492">
        <f>+'Table A'!O6</f>
        <v>-8.0272551263517733E-3</v>
      </c>
      <c r="G5" s="491"/>
      <c r="H5" s="491" t="s">
        <v>42</v>
      </c>
      <c r="I5" s="492">
        <f t="shared" si="0"/>
        <v>0.27915742108293917</v>
      </c>
      <c r="J5" s="492">
        <f t="shared" si="0"/>
        <v>0.29157703980486771</v>
      </c>
      <c r="K5" s="492">
        <f t="shared" si="0"/>
        <v>1.2419618721928538E-2</v>
      </c>
      <c r="L5" s="495">
        <v>0.1</v>
      </c>
      <c r="M5" s="495">
        <v>0.09</v>
      </c>
      <c r="N5" s="491"/>
      <c r="O5" s="491"/>
      <c r="P5" s="491"/>
    </row>
    <row r="6" spans="3:16" ht="19.5" x14ac:dyDescent="0.45">
      <c r="C6" s="491" t="str">
        <f>+'Table A'!B7</f>
        <v>Canada</v>
      </c>
      <c r="D6" s="492">
        <f>+'Table A'!J7</f>
        <v>9.2280382186396753E-2</v>
      </c>
      <c r="E6" s="492">
        <f>+'Table A'!N7</f>
        <v>9.4387945382259628E-2</v>
      </c>
      <c r="F6" s="492">
        <f>+'Table A'!O7</f>
        <v>2.1075631958628743E-3</v>
      </c>
      <c r="G6" s="491"/>
      <c r="H6" s="491" t="s">
        <v>41</v>
      </c>
      <c r="I6" s="492">
        <f t="shared" si="0"/>
        <v>0.20997354799632112</v>
      </c>
      <c r="J6" s="492">
        <f t="shared" si="0"/>
        <v>0.2176535483408765</v>
      </c>
      <c r="K6" s="492">
        <f t="shared" si="0"/>
        <v>7.6800003445553766E-3</v>
      </c>
      <c r="L6" s="495">
        <v>0.1</v>
      </c>
      <c r="M6" s="495">
        <v>0.09</v>
      </c>
      <c r="N6" s="491"/>
      <c r="O6" s="491"/>
      <c r="P6" s="491"/>
    </row>
    <row r="7" spans="3:16" ht="19.5" x14ac:dyDescent="0.45">
      <c r="C7" s="491" t="str">
        <f>+'Table A'!B8</f>
        <v>Chile</v>
      </c>
      <c r="D7" s="492">
        <f>+'Table A'!J8</f>
        <v>0.10858052429150625</v>
      </c>
      <c r="E7" s="492">
        <f>+'Table A'!N8</f>
        <v>0.18021631251270342</v>
      </c>
      <c r="F7" s="492">
        <f>+'Table A'!O8</f>
        <v>7.1635788221197177E-2</v>
      </c>
      <c r="G7" s="491"/>
      <c r="H7" s="491" t="s">
        <v>61</v>
      </c>
      <c r="I7" s="492">
        <f t="shared" si="0"/>
        <v>0.14169133044555379</v>
      </c>
      <c r="J7" s="492">
        <f t="shared" si="0"/>
        <v>0.18310080120891367</v>
      </c>
      <c r="K7" s="492">
        <f t="shared" si="0"/>
        <v>4.1409470763359879E-2</v>
      </c>
      <c r="L7" s="495">
        <v>0.1</v>
      </c>
      <c r="M7" s="495">
        <v>0.09</v>
      </c>
      <c r="N7" s="491"/>
      <c r="O7" s="491"/>
      <c r="P7" s="491"/>
    </row>
    <row r="8" spans="3:16" ht="19.5" x14ac:dyDescent="0.45">
      <c r="C8" s="491" t="str">
        <f>+'Table A'!B9</f>
        <v>Czech Republic</v>
      </c>
      <c r="D8" s="492">
        <f>+'Table A'!J9</f>
        <v>4.9842555724673894E-2</v>
      </c>
      <c r="E8" s="492">
        <f>+'Table A'!N9</f>
        <v>6.0019345938042513E-2</v>
      </c>
      <c r="F8" s="492">
        <f>+'Table A'!O9</f>
        <v>1.0176790213368619E-2</v>
      </c>
      <c r="G8" s="491"/>
      <c r="H8" s="491" t="s">
        <v>48</v>
      </c>
      <c r="I8" s="492">
        <f t="shared" si="0"/>
        <v>0.19117642800501949</v>
      </c>
      <c r="J8" s="492">
        <f t="shared" si="0"/>
        <v>0.17588559138604407</v>
      </c>
      <c r="K8" s="492">
        <f t="shared" si="0"/>
        <v>-1.5290836618975429E-2</v>
      </c>
      <c r="L8" s="495">
        <v>0.1</v>
      </c>
      <c r="M8" s="495">
        <v>0.09</v>
      </c>
      <c r="N8" s="491"/>
      <c r="O8" s="491"/>
      <c r="P8" s="491"/>
    </row>
    <row r="9" spans="3:16" ht="19.5" x14ac:dyDescent="0.45">
      <c r="C9" s="491" t="str">
        <f>+'Table A'!B10</f>
        <v>Denmark</v>
      </c>
      <c r="D9" s="492">
        <f>+'Table A'!J10</f>
        <v>8.4308238779602376E-2</v>
      </c>
      <c r="E9" s="492">
        <f>+'Table A'!N10</f>
        <v>0.11281496316698668</v>
      </c>
      <c r="F9" s="492">
        <f>+'Table A'!O10</f>
        <v>2.8506724387384302E-2</v>
      </c>
      <c r="G9" s="491"/>
      <c r="H9" s="491" t="s">
        <v>68</v>
      </c>
      <c r="I9" s="492">
        <f t="shared" si="0"/>
        <v>8.4122127915958592E-2</v>
      </c>
      <c r="J9" s="492">
        <f t="shared" si="0"/>
        <v>0.17331989683981694</v>
      </c>
      <c r="K9" s="492">
        <f t="shared" si="0"/>
        <v>8.9197768923858348E-2</v>
      </c>
      <c r="L9" s="495">
        <v>0.1</v>
      </c>
      <c r="M9" s="495">
        <v>0.09</v>
      </c>
      <c r="N9" s="491"/>
      <c r="O9" s="491"/>
      <c r="P9" s="491"/>
    </row>
    <row r="10" spans="3:16" ht="19.5" x14ac:dyDescent="0.45">
      <c r="C10" s="491" t="str">
        <f>+'Table A'!B11</f>
        <v>Estonia</v>
      </c>
      <c r="D10" s="492">
        <f>+'Table A'!J11</f>
        <v>0.10357148064219124</v>
      </c>
      <c r="E10" s="492">
        <f>+'Table A'!N11</f>
        <v>0.14320658791780397</v>
      </c>
      <c r="F10" s="492">
        <f>+'Table A'!O11</f>
        <v>3.963510727561273E-2</v>
      </c>
      <c r="G10" s="491"/>
      <c r="H10" s="491" t="s">
        <v>66</v>
      </c>
      <c r="I10" s="492">
        <f t="shared" si="0"/>
        <v>0.14029437788441623</v>
      </c>
      <c r="J10" s="492">
        <f t="shared" si="0"/>
        <v>0.15559404460761039</v>
      </c>
      <c r="K10" s="492">
        <f t="shared" si="0"/>
        <v>1.5299666723194161E-2</v>
      </c>
      <c r="L10" s="495">
        <v>0.1</v>
      </c>
      <c r="M10" s="495">
        <v>0.09</v>
      </c>
      <c r="N10" s="491"/>
      <c r="O10" s="491"/>
      <c r="P10" s="491"/>
    </row>
    <row r="11" spans="3:16" ht="19.5" x14ac:dyDescent="0.45">
      <c r="C11" s="491" t="str">
        <f>+'Table A'!B12</f>
        <v>Finland</v>
      </c>
      <c r="D11" s="492">
        <f>+'Table A'!J12</f>
        <v>0.10766710208423033</v>
      </c>
      <c r="E11" s="492">
        <f>+'Table A'!N12</f>
        <v>0.14036374482253366</v>
      </c>
      <c r="F11" s="492">
        <f>+'Table A'!O12</f>
        <v>3.2696642738303333E-2</v>
      </c>
      <c r="G11" s="491"/>
      <c r="H11" s="491" t="s">
        <v>53</v>
      </c>
      <c r="I11" s="492">
        <f t="shared" si="0"/>
        <v>9.722953735639249E-2</v>
      </c>
      <c r="J11" s="492">
        <f t="shared" si="0"/>
        <v>0.1464226475009392</v>
      </c>
      <c r="K11" s="492">
        <f t="shared" si="0"/>
        <v>4.9193110144546706E-2</v>
      </c>
      <c r="L11" s="495">
        <v>0.1</v>
      </c>
      <c r="M11" s="495">
        <v>0.09</v>
      </c>
      <c r="N11" s="491"/>
      <c r="O11" s="491"/>
      <c r="P11" s="491"/>
    </row>
    <row r="12" spans="3:16" ht="19.5" x14ac:dyDescent="0.45">
      <c r="C12" s="491" t="str">
        <f>+'Table A'!B13</f>
        <v>France</v>
      </c>
      <c r="D12" s="492">
        <f>+'Table A'!J13</f>
        <v>0.20997354799632112</v>
      </c>
      <c r="E12" s="492">
        <f>+'Table A'!N13</f>
        <v>0.2176535483408765</v>
      </c>
      <c r="F12" s="492">
        <f>+'Table A'!O13</f>
        <v>7.6800003445553766E-3</v>
      </c>
      <c r="G12" s="491"/>
      <c r="H12" s="491" t="s">
        <v>32</v>
      </c>
      <c r="I12" s="492">
        <f t="shared" si="0"/>
        <v>6.7825450297755593E-2</v>
      </c>
      <c r="J12" s="492">
        <f t="shared" si="0"/>
        <v>0.13796919947353922</v>
      </c>
      <c r="K12" s="492">
        <f t="shared" si="0"/>
        <v>7.0143749175783629E-2</v>
      </c>
      <c r="L12" s="495">
        <v>0.1</v>
      </c>
      <c r="M12" s="495">
        <v>0.09</v>
      </c>
      <c r="N12" s="491"/>
      <c r="O12" s="491"/>
      <c r="P12" s="491"/>
    </row>
    <row r="13" spans="3:16" ht="19.5" x14ac:dyDescent="0.45">
      <c r="C13" s="491" t="str">
        <f>+'Table A'!B14</f>
        <v>Germany</v>
      </c>
      <c r="D13" s="492">
        <f>+'Table A'!J14</f>
        <v>0.27915742108293917</v>
      </c>
      <c r="E13" s="492">
        <f>+'Table A'!N14</f>
        <v>0.29157703980486771</v>
      </c>
      <c r="F13" s="492">
        <f>+'Table A'!O14</f>
        <v>1.2419618721928538E-2</v>
      </c>
      <c r="G13" s="491"/>
      <c r="H13" s="491" t="s">
        <v>76</v>
      </c>
      <c r="I13" s="492">
        <f t="shared" si="0"/>
        <v>5.7036451351329766E-2</v>
      </c>
      <c r="J13" s="492">
        <f t="shared" si="0"/>
        <v>0.13153414178601369</v>
      </c>
      <c r="K13" s="492">
        <f t="shared" si="0"/>
        <v>7.4497690434683933E-2</v>
      </c>
      <c r="L13" s="495">
        <v>0.1</v>
      </c>
      <c r="M13" s="495">
        <v>0.09</v>
      </c>
      <c r="N13" s="491"/>
      <c r="O13" s="491"/>
      <c r="P13" s="491"/>
    </row>
    <row r="14" spans="3:16" ht="19.5" x14ac:dyDescent="0.45">
      <c r="C14" s="491" t="str">
        <f>+'Table A'!B15</f>
        <v>Greece</v>
      </c>
      <c r="D14" s="492">
        <f>+'Table A'!J15</f>
        <v>7.2009177498450469E-2</v>
      </c>
      <c r="E14" s="492">
        <f>+'Table A'!N15</f>
        <v>0.11807154008664292</v>
      </c>
      <c r="F14" s="492">
        <f>+'Table A'!O15</f>
        <v>4.6062362588192449E-2</v>
      </c>
      <c r="G14" s="491"/>
      <c r="H14" s="491" t="s">
        <v>43</v>
      </c>
      <c r="I14" s="492">
        <f t="shared" si="0"/>
        <v>7.2009177498450469E-2</v>
      </c>
      <c r="J14" s="492">
        <f t="shared" si="0"/>
        <v>0.11807154008664292</v>
      </c>
      <c r="K14" s="492">
        <f t="shared" si="0"/>
        <v>4.6062362588192449E-2</v>
      </c>
      <c r="L14" s="495">
        <v>0.1</v>
      </c>
      <c r="M14" s="495">
        <v>0.09</v>
      </c>
      <c r="N14" s="491"/>
      <c r="O14" s="491"/>
      <c r="P14" s="491"/>
    </row>
    <row r="15" spans="3:16" ht="19.5" x14ac:dyDescent="0.45">
      <c r="C15" s="491" t="str">
        <f>+'Table A'!B16</f>
        <v>Hungary</v>
      </c>
      <c r="D15" s="492">
        <f>+'Table A'!J16</f>
        <v>0.20716531812951985</v>
      </c>
      <c r="E15" s="492">
        <f>+'Table A'!N16</f>
        <v>0.24594113585300639</v>
      </c>
      <c r="F15" s="492">
        <f>+'Table A'!O16</f>
        <v>3.8775817723486539E-2</v>
      </c>
      <c r="G15" s="491"/>
      <c r="H15" s="491" t="s">
        <v>38</v>
      </c>
      <c r="I15" s="492">
        <f t="shared" si="0"/>
        <v>8.4308238779602376E-2</v>
      </c>
      <c r="J15" s="492">
        <f t="shared" si="0"/>
        <v>0.11281496316698668</v>
      </c>
      <c r="K15" s="492">
        <f t="shared" si="0"/>
        <v>2.8506724387384302E-2</v>
      </c>
      <c r="L15" s="495">
        <v>0.1</v>
      </c>
      <c r="M15" s="495">
        <v>0.09</v>
      </c>
      <c r="N15" s="491"/>
      <c r="O15" s="491"/>
      <c r="P15" s="491"/>
    </row>
    <row r="16" spans="3:16" ht="19.5" x14ac:dyDescent="0.45">
      <c r="C16" s="491" t="str">
        <f>+'Table A'!B17</f>
        <v>Iceland</v>
      </c>
      <c r="D16" s="492">
        <f>+'Table A'!J17</f>
        <v>0.21979920473468681</v>
      </c>
      <c r="E16" s="492">
        <f>+'Table A'!N17</f>
        <v>0.25615598414569818</v>
      </c>
      <c r="F16" s="492">
        <f>+'Table A'!O17</f>
        <v>3.635677941101137E-2</v>
      </c>
      <c r="G16" s="491"/>
      <c r="H16" s="491" t="s">
        <v>58</v>
      </c>
      <c r="I16" s="492">
        <f t="shared" si="0"/>
        <v>8.8984298209723964E-2</v>
      </c>
      <c r="J16" s="492">
        <f t="shared" si="0"/>
        <v>9.71410865476839E-2</v>
      </c>
      <c r="K16" s="492">
        <f t="shared" si="0"/>
        <v>8.156788337959936E-3</v>
      </c>
      <c r="L16" s="495">
        <v>0.1</v>
      </c>
      <c r="M16" s="495">
        <v>0.09</v>
      </c>
      <c r="N16" s="491"/>
      <c r="O16" s="491"/>
      <c r="P16" s="491"/>
    </row>
    <row r="17" spans="3:16" ht="19.5" x14ac:dyDescent="0.45">
      <c r="C17" s="491" t="str">
        <f>+'Table A'!B18</f>
        <v>Israel</v>
      </c>
      <c r="D17" s="492">
        <f>+'Table A'!J18</f>
        <v>1.7851891100410196E-2</v>
      </c>
      <c r="E17" s="492">
        <f>+'Table A'!N18</f>
        <v>9.2029896735391137E-2</v>
      </c>
      <c r="F17" s="492">
        <f>+'Table A'!O18</f>
        <v>7.4178005634980948E-2</v>
      </c>
      <c r="G17" s="491"/>
      <c r="H17" s="491" t="s">
        <v>35</v>
      </c>
      <c r="I17" s="492">
        <f t="shared" si="0"/>
        <v>9.2280382186396753E-2</v>
      </c>
      <c r="J17" s="492">
        <f t="shared" si="0"/>
        <v>9.4387945382259628E-2</v>
      </c>
      <c r="K17" s="492">
        <f t="shared" si="0"/>
        <v>2.1075631958628743E-3</v>
      </c>
      <c r="L17" s="495">
        <v>0.1</v>
      </c>
      <c r="M17" s="495">
        <v>0.09</v>
      </c>
      <c r="N17" s="491"/>
      <c r="O17" s="491"/>
      <c r="P17" s="491"/>
    </row>
    <row r="18" spans="3:16" ht="19.5" x14ac:dyDescent="0.45">
      <c r="C18" s="491" t="str">
        <f>+'Table A'!B19</f>
        <v>Italy</v>
      </c>
      <c r="D18" s="492">
        <f>+'Table A'!J19</f>
        <v>0.19117642800501949</v>
      </c>
      <c r="E18" s="492">
        <f>+'Table A'!N19</f>
        <v>0.17588559138604407</v>
      </c>
      <c r="F18" s="492">
        <f>+'Table A'!O19</f>
        <v>-1.5290836618975429E-2</v>
      </c>
      <c r="G18" s="491"/>
      <c r="H18" s="491" t="s">
        <v>64</v>
      </c>
      <c r="I18" s="492">
        <f>+VLOOKUP($H18,$C:$F,MATCH(I$3,$C$3:$F$3,0),0)</f>
        <v>7.5143595197188717E-2</v>
      </c>
      <c r="J18" s="492">
        <f>+VLOOKUP($H18,$C:$F,MATCH(J$3,$C$3:$F$3,0),0)</f>
        <v>7.7407451704525204E-2</v>
      </c>
      <c r="K18" s="492">
        <f>+VLOOKUP($H18,$C:$F,MATCH(K$3,$C$3:$F$3,0),0)</f>
        <v>2.2638565073364869E-3</v>
      </c>
      <c r="L18" s="495">
        <v>0.1</v>
      </c>
      <c r="M18" s="495">
        <v>0.09</v>
      </c>
      <c r="N18" s="491"/>
      <c r="O18" s="491"/>
      <c r="P18" s="491"/>
    </row>
    <row r="19" spans="3:16" ht="19.5" x14ac:dyDescent="0.45">
      <c r="C19" s="491" t="str">
        <f>+'Table A'!B20</f>
        <v>Japan</v>
      </c>
      <c r="D19" s="492">
        <f>+'Table A'!J20</f>
        <v>0.02</v>
      </c>
      <c r="E19" s="492">
        <f>+'Table A'!N20</f>
        <v>2.7939462578061635E-2</v>
      </c>
      <c r="F19" s="492">
        <f>+'Table A'!O20</f>
        <v>7.9394625780616346E-3</v>
      </c>
      <c r="G19" s="491"/>
      <c r="H19" s="491" t="s">
        <v>73</v>
      </c>
      <c r="I19" s="492">
        <f>+VLOOKUP($H19,$C:$F,MATCH(I$3,$C$3:$F$3,0),0)</f>
        <v>8.1017937685124219E-2</v>
      </c>
      <c r="J19" s="492">
        <f>+VLOOKUP($H19,$C:$F,MATCH(J$3,$C$3:$F$3,0),0)</f>
        <v>6.2927193684744365E-2</v>
      </c>
      <c r="K19" s="492">
        <f>+VLOOKUP($H19,$C:$F,MATCH(K$3,$C$3:$F$3,0),0)</f>
        <v>-1.8090744000379855E-2</v>
      </c>
      <c r="L19" s="495">
        <v>0.1</v>
      </c>
      <c r="M19" s="495">
        <v>0.09</v>
      </c>
      <c r="N19" s="491"/>
      <c r="O19" s="491"/>
      <c r="P19" s="491"/>
    </row>
    <row r="20" spans="3:16" ht="19.5" x14ac:dyDescent="0.45">
      <c r="C20" s="491" t="str">
        <f>+'Table A'!B21</f>
        <v>Korea</v>
      </c>
      <c r="D20" s="492">
        <f>+'Table A'!J21</f>
        <v>2.3559034749706397E-2</v>
      </c>
      <c r="E20" s="492">
        <f>+'Table A'!N21</f>
        <v>3.1254384853862678E-2</v>
      </c>
      <c r="F20" s="492">
        <f>+'Table A'!O21</f>
        <v>7.6953501041562809E-3</v>
      </c>
      <c r="G20" s="491"/>
      <c r="H20" s="491" t="s">
        <v>74</v>
      </c>
      <c r="I20" s="492">
        <f>+VLOOKUP($H20,$C:$F,MATCH(I$3,$C$3:$F$3,0),0)</f>
        <v>5.404894525547628E-2</v>
      </c>
      <c r="J20" s="492">
        <f>+VLOOKUP($H20,$C:$F,MATCH(J$3,$C$3:$F$3,0),0)</f>
        <v>5.7428604691060495E-2</v>
      </c>
      <c r="K20" s="492">
        <f>+VLOOKUP($H20,$C:$F,MATCH(K$3,$C$3:$F$3,0),0)</f>
        <v>3.3796594355842147E-3</v>
      </c>
      <c r="L20" s="495">
        <v>0.1</v>
      </c>
      <c r="M20" s="495">
        <v>0.09</v>
      </c>
      <c r="N20" s="491"/>
      <c r="O20" s="491"/>
      <c r="P20" s="491"/>
    </row>
    <row r="21" spans="3:16" ht="19.5" x14ac:dyDescent="0.45">
      <c r="C21" s="491" t="str">
        <f>+'Table A'!B22</f>
        <v>Latvia</v>
      </c>
      <c r="D21" s="492">
        <f>+'Table A'!J22</f>
        <v>6.9942883428137856E-2</v>
      </c>
      <c r="E21" s="492">
        <f>+'Table A'!N22</f>
        <v>1.4370369939272372</v>
      </c>
      <c r="F21" s="492">
        <f>+'Table A'!O22</f>
        <v>1.3670941104990992</v>
      </c>
      <c r="G21" s="491"/>
      <c r="H21" s="491" t="s">
        <v>70</v>
      </c>
      <c r="I21" s="492">
        <f>+VLOOKUP($H21,$C:$F,MATCH(I$3,$C$3:$F$3,0),0)</f>
        <v>3.23734212127871E-2</v>
      </c>
      <c r="J21" s="492">
        <f>+VLOOKUP($H21,$C:$F,MATCH(J$3,$C$3:$F$3,0),0)</f>
        <v>4.3097816811950553E-2</v>
      </c>
      <c r="K21" s="492">
        <f>+VLOOKUP($H21,$C:$F,MATCH(K$3,$C$3:$F$3,0),0)</f>
        <v>1.0724395599163453E-2</v>
      </c>
      <c r="L21" s="495">
        <v>0.1</v>
      </c>
      <c r="M21" s="495">
        <v>0.09</v>
      </c>
      <c r="N21" s="491"/>
      <c r="O21" s="491"/>
      <c r="P21" s="491"/>
    </row>
    <row r="22" spans="3:16" ht="19.5" x14ac:dyDescent="0.45">
      <c r="C22" s="491" t="str">
        <f>+'Table A'!B23</f>
        <v>Mexico</v>
      </c>
      <c r="D22" s="492">
        <f>+'Table A'!J23</f>
        <v>9.722953735639249E-2</v>
      </c>
      <c r="E22" s="492">
        <f>+'Table A'!N23</f>
        <v>0.1464226475009392</v>
      </c>
      <c r="F22" s="492">
        <f>+'Table A'!O23</f>
        <v>4.9193110144546706E-2</v>
      </c>
      <c r="G22" s="491"/>
      <c r="H22" s="491" t="s">
        <v>50</v>
      </c>
      <c r="I22" s="492">
        <f>+VLOOKUP($H22,$C:$F,MATCH(I$3,$C$3:$F$3,0),0)</f>
        <v>2.3559034749706397E-2</v>
      </c>
      <c r="J22" s="492">
        <f>+VLOOKUP($H22,$C:$F,MATCH(J$3,$C$3:$F$3,0),0)</f>
        <v>3.1254384853862678E-2</v>
      </c>
      <c r="K22" s="492">
        <f>+VLOOKUP($H22,$C:$F,MATCH(K$3,$C$3:$F$3,0),0)</f>
        <v>7.6953501041562809E-3</v>
      </c>
      <c r="L22" s="495">
        <v>0.1</v>
      </c>
      <c r="M22" s="495">
        <v>0.09</v>
      </c>
      <c r="N22" s="491"/>
      <c r="O22" s="491"/>
      <c r="P22" s="491"/>
    </row>
    <row r="23" spans="3:16" ht="19.5" x14ac:dyDescent="0.45">
      <c r="C23" s="491" t="str">
        <f>+'Table A'!B24</f>
        <v>New Zealand</v>
      </c>
      <c r="D23" s="492">
        <f>+'Table A'!J24</f>
        <v>4.9727423642897652E-2</v>
      </c>
      <c r="E23" s="492">
        <f>+'Table A'!N24</f>
        <v>0.10845174076478585</v>
      </c>
      <c r="F23" s="492">
        <f>+'Table A'!O24</f>
        <v>5.8724317121888199E-2</v>
      </c>
      <c r="G23" s="491"/>
      <c r="H23" s="491" t="s">
        <v>49</v>
      </c>
      <c r="I23" s="492">
        <f>+VLOOKUP($H23,$C:$F,MATCH(I$3,$C$3:$F$3,0),0)</f>
        <v>0.02</v>
      </c>
      <c r="J23" s="492">
        <f>+VLOOKUP($H23,$C:$F,MATCH(J$3,$C$3:$F$3,0),0)</f>
        <v>2.7939462578061635E-2</v>
      </c>
      <c r="K23" s="492">
        <f>+VLOOKUP($H23,$C:$F,MATCH(K$3,$C$3:$F$3,0),0)</f>
        <v>7.9394625780616346E-3</v>
      </c>
      <c r="L23" s="495">
        <v>0.1</v>
      </c>
      <c r="M23" s="495">
        <v>0.09</v>
      </c>
      <c r="N23" s="491"/>
      <c r="O23" s="491"/>
      <c r="P23" s="491"/>
    </row>
    <row r="24" spans="3:16" ht="19.5" x14ac:dyDescent="0.45">
      <c r="C24" s="491" t="str">
        <f>+'Table A'!B25</f>
        <v>Norway</v>
      </c>
      <c r="D24" s="492">
        <f>+'Table A'!J25</f>
        <v>7.9022923686169505E-2</v>
      </c>
      <c r="E24" s="492">
        <f>+'Table A'!N25</f>
        <v>7.5095748251736025E-2</v>
      </c>
      <c r="F24" s="492">
        <f>+'Table A'!O25</f>
        <v>-3.9271754344334803E-3</v>
      </c>
      <c r="G24" s="491"/>
      <c r="N24" s="491"/>
      <c r="O24" s="491"/>
      <c r="P24" s="491"/>
    </row>
    <row r="25" spans="3:16" ht="19.5" x14ac:dyDescent="0.45">
      <c r="C25" s="491" t="str">
        <f>+'Table A'!B26</f>
        <v>Poland</v>
      </c>
      <c r="D25" s="492">
        <f>+'Table A'!J26</f>
        <v>7.995762060743801E-2</v>
      </c>
      <c r="E25" s="492">
        <f>+'Table A'!N26</f>
        <v>7.7154164151821164E-2</v>
      </c>
      <c r="F25" s="492">
        <f>+'Table A'!O26</f>
        <v>-2.8034564556168456E-3</v>
      </c>
    </row>
    <row r="26" spans="3:16" ht="19.5" x14ac:dyDescent="0.45">
      <c r="C26" s="491" t="str">
        <f>+'Table A'!B27</f>
        <v>Portugal</v>
      </c>
      <c r="D26" s="492">
        <f>+'Table A'!J27</f>
        <v>8.8984298209723964E-2</v>
      </c>
      <c r="E26" s="492">
        <f>+'Table A'!N27</f>
        <v>9.71410865476839E-2</v>
      </c>
      <c r="F26" s="492">
        <f>+'Table A'!O27</f>
        <v>8.156788337959936E-3</v>
      </c>
    </row>
    <row r="27" spans="3:16" ht="19.5" x14ac:dyDescent="0.45">
      <c r="C27" s="491" t="str">
        <f>+'Table A'!B28</f>
        <v>Slovakia</v>
      </c>
      <c r="D27" s="492">
        <f>+'Table A'!J28</f>
        <v>4.8026979941344722E-2</v>
      </c>
      <c r="E27" s="492">
        <f>+'Table A'!N28</f>
        <v>6.9113731865188086E-2</v>
      </c>
      <c r="F27" s="492">
        <f>+'Table A'!O28</f>
        <v>2.1086751923843364E-2</v>
      </c>
    </row>
    <row r="28" spans="3:16" ht="19.5" x14ac:dyDescent="0.45">
      <c r="C28" s="491" t="str">
        <f>+'Table A'!B29</f>
        <v>Slovenia</v>
      </c>
      <c r="D28" s="492">
        <f>+'Table A'!J29</f>
        <v>0.21</v>
      </c>
      <c r="E28" s="492">
        <f>+'Table A'!N29</f>
        <v>7.3763069652034163E-2</v>
      </c>
      <c r="F28" s="492">
        <f>+'Table A'!O29</f>
        <v>-0.13623693034796583</v>
      </c>
    </row>
    <row r="29" spans="3:16" ht="19.5" x14ac:dyDescent="0.45">
      <c r="C29" s="491" t="str">
        <f>+'Table A'!B30</f>
        <v>Spain</v>
      </c>
      <c r="D29" s="492">
        <f>+'Table A'!J30</f>
        <v>0.14169133044555379</v>
      </c>
      <c r="E29" s="492">
        <f>+'Table A'!N30</f>
        <v>0.18310080120891367</v>
      </c>
      <c r="F29" s="492">
        <f>+'Table A'!O30</f>
        <v>4.1409470763359879E-2</v>
      </c>
    </row>
    <row r="30" spans="3:16" ht="19.5" x14ac:dyDescent="0.45">
      <c r="C30" s="491" t="str">
        <f>+'Table A'!B31</f>
        <v>Sweden</v>
      </c>
      <c r="D30" s="492">
        <f>+'Table A'!J31</f>
        <v>0.12758674261005515</v>
      </c>
      <c r="E30" s="492">
        <f>+'Table A'!N31</f>
        <v>0.1674210940484315</v>
      </c>
      <c r="F30" s="492">
        <f>+'Table A'!O31</f>
        <v>3.9834351438376353E-2</v>
      </c>
    </row>
    <row r="31" spans="3:16" ht="19.5" x14ac:dyDescent="0.45">
      <c r="C31" s="491" t="str">
        <f>+'Table A'!B32</f>
        <v>Turkey</v>
      </c>
      <c r="D31" s="492">
        <f>+'Table A'!J32</f>
        <v>7.5143595197188717E-2</v>
      </c>
      <c r="E31" s="492">
        <f>+'Table A'!N32</f>
        <v>7.7407451704525204E-2</v>
      </c>
      <c r="F31" s="492">
        <f>+'Table A'!O32</f>
        <v>2.2638565073364869E-3</v>
      </c>
    </row>
    <row r="32" spans="3:16" ht="19.5" x14ac:dyDescent="0.45">
      <c r="C32" s="491" t="str">
        <f>+'Table A'!B33</f>
        <v>United Kingdom</v>
      </c>
      <c r="D32" s="492">
        <f>+'Table A'!J33</f>
        <v>0.17522636389555327</v>
      </c>
      <c r="E32" s="492">
        <f>+'Table A'!N33</f>
        <v>0.3199088142842143</v>
      </c>
      <c r="F32" s="492">
        <f>+'Table A'!O33</f>
        <v>0.14468245038866104</v>
      </c>
    </row>
    <row r="33" spans="3:6" ht="19.5" x14ac:dyDescent="0.45">
      <c r="C33" s="491" t="str">
        <f>+'Table A'!B34</f>
        <v>United States</v>
      </c>
      <c r="D33" s="492">
        <f>+'Table A'!J34</f>
        <v>0.14029437788441623</v>
      </c>
      <c r="E33" s="492">
        <f>+'Table A'!N34</f>
        <v>0.15559404460761039</v>
      </c>
      <c r="F33" s="492">
        <f>+'Table A'!O34</f>
        <v>1.5299666723194161E-2</v>
      </c>
    </row>
    <row r="34" spans="3:6" ht="19.5" x14ac:dyDescent="0.45">
      <c r="C34" s="491" t="str">
        <f>+'Table A'!B35</f>
        <v>Main developing countries</v>
      </c>
      <c r="D34" s="492">
        <f>+'Table A'!J35</f>
        <v>0</v>
      </c>
      <c r="E34" s="492">
        <f>+'Table A'!N35</f>
        <v>0</v>
      </c>
      <c r="F34" s="492">
        <f>+'Table A'!O35</f>
        <v>0</v>
      </c>
    </row>
    <row r="35" spans="3:6" ht="19.5" x14ac:dyDescent="0.45">
      <c r="C35" s="491" t="str">
        <f>+'Table A'!B36</f>
        <v>Argentina</v>
      </c>
      <c r="D35" s="492">
        <f>+'Table A'!J36</f>
        <v>0</v>
      </c>
      <c r="E35" s="492">
        <f>+'Table A'!N36</f>
        <v>0.12066811378707953</v>
      </c>
      <c r="F35" s="492">
        <f>+'Table A'!O36</f>
        <v>0</v>
      </c>
    </row>
    <row r="36" spans="3:6" ht="19.5" x14ac:dyDescent="0.45">
      <c r="C36" s="491" t="str">
        <f>+'Table A'!B37</f>
        <v>Brazil</v>
      </c>
      <c r="D36" s="492">
        <f>+'Table A'!J37</f>
        <v>8.4122127915958592E-2</v>
      </c>
      <c r="E36" s="492">
        <f>+'Table A'!N37</f>
        <v>0.17331989683981694</v>
      </c>
      <c r="F36" s="492">
        <f>+'Table A'!O37</f>
        <v>8.9197768923858348E-2</v>
      </c>
    </row>
    <row r="37" spans="3:6" ht="19.5" x14ac:dyDescent="0.45">
      <c r="C37" s="491" t="str">
        <f>+'Table A'!B38</f>
        <v>China</v>
      </c>
      <c r="D37" s="492">
        <f>+'Table A'!J38</f>
        <v>3.23734212127871E-2</v>
      </c>
      <c r="E37" s="492">
        <f>+'Table A'!N38</f>
        <v>4.3097816811950553E-2</v>
      </c>
      <c r="F37" s="492">
        <f>+'Table A'!O38</f>
        <v>1.0724395599163453E-2</v>
      </c>
    </row>
    <row r="38" spans="3:6" ht="19.5" x14ac:dyDescent="0.45">
      <c r="C38" s="491" t="str">
        <f>+'Table A'!B39</f>
        <v>Colombia</v>
      </c>
      <c r="D38" s="492">
        <f>+'Table A'!J39</f>
        <v>1.9286039387400509E-2</v>
      </c>
      <c r="E38" s="492">
        <f>+'Table A'!N39</f>
        <v>4.5073168581550159E-2</v>
      </c>
      <c r="F38" s="492">
        <f>+'Table A'!O39</f>
        <v>2.578712919414965E-2</v>
      </c>
    </row>
    <row r="39" spans="3:6" ht="19.5" x14ac:dyDescent="0.45">
      <c r="C39" s="491" t="str">
        <f>+'Table A'!B40</f>
        <v>Costa Rica</v>
      </c>
      <c r="D39" s="492">
        <f>+'Table A'!J40</f>
        <v>0.19288603020104272</v>
      </c>
      <c r="E39" s="492">
        <f>+'Table A'!N40</f>
        <v>0.32395073300428356</v>
      </c>
      <c r="F39" s="492">
        <f>+'Table A'!O40</f>
        <v>0.13106470280324084</v>
      </c>
    </row>
    <row r="40" spans="3:6" ht="19.5" x14ac:dyDescent="0.45">
      <c r="C40" s="491" t="str">
        <f>+'Table A'!B41</f>
        <v>Egypt</v>
      </c>
      <c r="D40" s="492">
        <f>+'Table A'!J41</f>
        <v>0</v>
      </c>
      <c r="E40" s="492">
        <f>+'Table A'!N41</f>
        <v>0.13378809260727195</v>
      </c>
      <c r="F40" s="492">
        <f>+'Table A'!O41</f>
        <v>0</v>
      </c>
    </row>
    <row r="41" spans="3:6" ht="19.5" x14ac:dyDescent="0.45">
      <c r="C41" s="491" t="str">
        <f>+'Table A'!B42</f>
        <v>Indonesia</v>
      </c>
      <c r="D41" s="492">
        <f>+'Table A'!J42</f>
        <v>0</v>
      </c>
      <c r="E41" s="492">
        <f>+'Table A'!N42</f>
        <v>0.13929710201780904</v>
      </c>
      <c r="F41" s="492">
        <f>+'Table A'!O42</f>
        <v>0</v>
      </c>
    </row>
    <row r="42" spans="3:6" ht="19.5" x14ac:dyDescent="0.45">
      <c r="C42" s="491" t="str">
        <f>+'Table A'!B43</f>
        <v>India</v>
      </c>
      <c r="D42" s="492">
        <f>+'Table A'!J43</f>
        <v>8.1017937685124219E-2</v>
      </c>
      <c r="E42" s="492">
        <f>+'Table A'!N43</f>
        <v>6.2927193684744365E-2</v>
      </c>
      <c r="F42" s="492">
        <f>+'Table A'!O43</f>
        <v>-1.8090744000379855E-2</v>
      </c>
    </row>
    <row r="43" spans="3:6" ht="19.5" x14ac:dyDescent="0.45">
      <c r="C43" s="491" t="str">
        <f>+'Table A'!B44</f>
        <v>Malaysia</v>
      </c>
      <c r="D43" s="492">
        <f>+'Table A'!J44</f>
        <v>0</v>
      </c>
      <c r="E43" s="492">
        <f>+'Table A'!N44</f>
        <v>7.2420415671892113E-2</v>
      </c>
      <c r="F43" s="492">
        <f>+'Table A'!O44</f>
        <v>0</v>
      </c>
    </row>
    <row r="44" spans="3:6" ht="19.5" x14ac:dyDescent="0.45">
      <c r="C44" s="491" t="str">
        <f>+'Table A'!B45</f>
        <v>Nigeria</v>
      </c>
      <c r="D44" s="492">
        <f>+'Table A'!J45</f>
        <v>0</v>
      </c>
      <c r="E44" s="492">
        <f>+'Table A'!N45</f>
        <v>0.25620243719242025</v>
      </c>
      <c r="F44" s="492">
        <f>+'Table A'!O45</f>
        <v>0</v>
      </c>
    </row>
    <row r="45" spans="3:6" ht="19.5" x14ac:dyDescent="0.45">
      <c r="C45" s="491" t="str">
        <f>+'Table A'!B46</f>
        <v>Russia</v>
      </c>
      <c r="D45" s="492">
        <f>+'Table A'!J46</f>
        <v>5.404894525547628E-2</v>
      </c>
      <c r="E45" s="492">
        <f>+'Table A'!N46</f>
        <v>5.7428604691060495E-2</v>
      </c>
      <c r="F45" s="492">
        <f>+'Table A'!O46</f>
        <v>3.3796594355842147E-3</v>
      </c>
    </row>
    <row r="46" spans="3:6" ht="19.5" x14ac:dyDescent="0.45">
      <c r="C46" s="491" t="str">
        <f>+'Table A'!B47</f>
        <v>India</v>
      </c>
      <c r="D46" s="492">
        <f>+'Table A'!J47</f>
        <v>5.7036451351329766E-2</v>
      </c>
      <c r="E46" s="492">
        <f>+'Table A'!N47</f>
        <v>6.2927193684744365E-2</v>
      </c>
      <c r="F46" s="492">
        <f>+'Table A'!O47</f>
        <v>5.8907423334145989E-3</v>
      </c>
    </row>
    <row r="47" spans="3:6" ht="19.5" x14ac:dyDescent="0.45">
      <c r="C47" s="491" t="str">
        <f>+'Table A'!B48</f>
        <v>South Africa</v>
      </c>
      <c r="D47" s="492">
        <f>+'Table A'!J48</f>
        <v>5.7036451351329766E-2</v>
      </c>
      <c r="E47" s="492">
        <f>+'Table A'!N48</f>
        <v>0.13153414178601369</v>
      </c>
      <c r="F47" s="492">
        <f>+'Table A'!O48</f>
        <v>7.4497690434683933E-2</v>
      </c>
    </row>
    <row r="48" spans="3:6" ht="19.5" x14ac:dyDescent="0.45">
      <c r="C48" s="491" t="str">
        <f>+'Table A'!B49</f>
        <v>Thailand</v>
      </c>
      <c r="D48" s="492">
        <f>+'Table A'!J49</f>
        <v>0</v>
      </c>
      <c r="E48" s="492">
        <f>+'Table A'!N49</f>
        <v>9.3033941276598642E-2</v>
      </c>
      <c r="F48" s="492">
        <f>+'Table A'!O49</f>
        <v>0</v>
      </c>
    </row>
    <row r="49" spans="3:6" ht="19.5" x14ac:dyDescent="0.45">
      <c r="C49" s="491" t="str">
        <f>+'Table A'!B50</f>
        <v>Uruguay</v>
      </c>
      <c r="D49" s="492">
        <f>+'Table A'!J50</f>
        <v>0</v>
      </c>
      <c r="E49" s="492">
        <f>+'Table A'!N50</f>
        <v>0.26128649526902981</v>
      </c>
      <c r="F49" s="492">
        <f>+'Table A'!O50</f>
        <v>0</v>
      </c>
    </row>
    <row r="50" spans="3:6" ht="19.5" x14ac:dyDescent="0.45">
      <c r="C50" s="491" t="str">
        <f>+'Table A'!B51</f>
        <v>Venezuela</v>
      </c>
      <c r="D50" s="492">
        <f>+'Table A'!J51</f>
        <v>0</v>
      </c>
      <c r="E50" s="492">
        <f>+'Table A'!N51</f>
        <v>0.19908288089084908</v>
      </c>
      <c r="F50" s="492">
        <f>+'Table A'!O51</f>
        <v>0</v>
      </c>
    </row>
    <row r="51" spans="3:6" ht="19.5" x14ac:dyDescent="0.45">
      <c r="C51" s="491" t="str">
        <f>+'Table A'!B52</f>
        <v>Tax havens</v>
      </c>
      <c r="D51" s="492">
        <f>+'Table A'!J52</f>
        <v>0</v>
      </c>
      <c r="E51" s="492">
        <f>+'Table A'!N52</f>
        <v>0</v>
      </c>
      <c r="F51" s="492">
        <f>+'Table A'!O52</f>
        <v>0</v>
      </c>
    </row>
    <row r="52" spans="3:6" ht="19.5" x14ac:dyDescent="0.45">
      <c r="C52" s="491" t="str">
        <f>+'Table A'!B53</f>
        <v>Belgium</v>
      </c>
      <c r="D52" s="492">
        <f>+'Table A'!J53</f>
        <v>0.15960156624970104</v>
      </c>
      <c r="E52" s="492">
        <f>+'Table A'!N53</f>
        <v>0.38099988981652727</v>
      </c>
      <c r="F52" s="492">
        <f>+'Table A'!O53</f>
        <v>0.22117640608562059</v>
      </c>
    </row>
    <row r="53" spans="3:6" ht="19.5" x14ac:dyDescent="0.45">
      <c r="C53" s="491" t="str">
        <f>+'Table A'!B54</f>
        <v>Ireland</v>
      </c>
      <c r="D53" s="492">
        <f>+'Table A'!J54</f>
        <v>0.57743248093138921</v>
      </c>
      <c r="E53" s="492">
        <f>+'Table A'!N54</f>
        <v>0.58715851999286683</v>
      </c>
      <c r="F53" s="492">
        <f>+'Table A'!O54</f>
        <v>-6.5259338535734401E-2</v>
      </c>
    </row>
    <row r="54" spans="3:6" ht="19.5" x14ac:dyDescent="0.45">
      <c r="C54" s="491" t="str">
        <f>+'Table A'!B55</f>
        <v>Luxembourg</v>
      </c>
      <c r="D54" s="492">
        <f>+'Table A'!J55</f>
        <v>0.50414994247910705</v>
      </c>
      <c r="E54" s="492">
        <f>+'Table A'!N55</f>
        <v>0.56467834815512141</v>
      </c>
      <c r="F54" s="492">
        <f>+'Table A'!O55</f>
        <v>2.0251133694616619E-2</v>
      </c>
    </row>
    <row r="55" spans="3:6" ht="19.5" x14ac:dyDescent="0.45">
      <c r="C55" s="491" t="str">
        <f>+'Table A'!B56</f>
        <v>Malta</v>
      </c>
      <c r="D55" s="492">
        <f>+'Table A'!J56</f>
        <v>0.90334015105889631</v>
      </c>
      <c r="E55" s="492">
        <f>+'Table A'!N56</f>
        <v>0.2895980121960548</v>
      </c>
      <c r="F55" s="492">
        <f>+'Table A'!O56</f>
        <v>-0.59491532124654611</v>
      </c>
    </row>
    <row r="56" spans="3:6" ht="19.5" x14ac:dyDescent="0.45">
      <c r="C56" s="491" t="str">
        <f>+'Table A'!B57</f>
        <v>Netherlands</v>
      </c>
      <c r="D56" s="492">
        <f>+'Table A'!J57</f>
        <v>0.3179544298480857</v>
      </c>
      <c r="E56" s="492">
        <f>+'Table A'!N57</f>
        <v>0.1936603197743251</v>
      </c>
      <c r="F56" s="492">
        <f>+'Table A'!O57</f>
        <v>-0.10410001819987827</v>
      </c>
    </row>
    <row r="57" spans="3:6" ht="19.5" x14ac:dyDescent="0.45">
      <c r="C57" s="491" t="str">
        <f>+'Table A'!B58</f>
        <v>Caribbean</v>
      </c>
      <c r="D57" s="492">
        <f>+'Table A'!J58</f>
        <v>1</v>
      </c>
      <c r="E57" s="492">
        <f>+'Table A'!N58</f>
        <v>1</v>
      </c>
      <c r="F57" s="492">
        <f>+'Table A'!O58</f>
        <v>0</v>
      </c>
    </row>
    <row r="58" spans="3:6" ht="19.5" x14ac:dyDescent="0.45">
      <c r="C58" s="491" t="str">
        <f>+'Table A'!B59</f>
        <v>Bermuda</v>
      </c>
      <c r="D58" s="492">
        <f>+'Table A'!J59</f>
        <v>0</v>
      </c>
      <c r="E58" s="492">
        <f>+'Table A'!N59</f>
        <v>0</v>
      </c>
      <c r="F58" s="492">
        <f>+'Table A'!O59</f>
        <v>0</v>
      </c>
    </row>
    <row r="59" spans="3:6" ht="19.5" x14ac:dyDescent="0.45">
      <c r="C59" s="491" t="str">
        <f>+'Table A'!B60</f>
        <v>Singapore</v>
      </c>
      <c r="D59" s="492">
        <f>+'Table A'!J60</f>
        <v>0.40851319960697152</v>
      </c>
      <c r="E59" s="492">
        <f>+'Table A'!N60</f>
        <v>0.29050537256504005</v>
      </c>
      <c r="F59" s="492">
        <f>+'Table A'!O60</f>
        <v>-0.13265480208770136</v>
      </c>
    </row>
    <row r="60" spans="3:6" ht="19.5" x14ac:dyDescent="0.45">
      <c r="C60" s="491" t="str">
        <f>+'Table A'!B61</f>
        <v>Puerto Rico</v>
      </c>
      <c r="D60" s="492">
        <f>+'Table A'!J61</f>
        <v>0.78997808122227953</v>
      </c>
      <c r="E60" s="492">
        <f>+'Table A'!N61</f>
        <v>0.29648825031955883</v>
      </c>
      <c r="F60" s="492">
        <f>+'Table A'!O61</f>
        <v>4.8157230442961718E-2</v>
      </c>
    </row>
    <row r="61" spans="3:6" ht="19.5" x14ac:dyDescent="0.45">
      <c r="C61" s="491" t="str">
        <f>+'Table A'!B62</f>
        <v>Hong Kong</v>
      </c>
      <c r="D61" s="492">
        <f>+'Table A'!J62</f>
        <v>0.33038854240582904</v>
      </c>
      <c r="E61" s="492">
        <f>+'Table A'!N62</f>
        <v>0.40479447021325571</v>
      </c>
      <c r="F61" s="492">
        <f>+'Table A'!O62</f>
        <v>0.16488275078571046</v>
      </c>
    </row>
    <row r="62" spans="3:6" ht="19.5" x14ac:dyDescent="0.45">
      <c r="C62" s="491" t="str">
        <f>+'Table A'!B63</f>
        <v>Switzerland</v>
      </c>
      <c r="D62" s="492">
        <f>+'Table A'!J63</f>
        <v>0.20104419648279911</v>
      </c>
      <c r="E62" s="492">
        <f>+'Table A'!N63</f>
        <v>0.39353907427626916</v>
      </c>
      <c r="F62" s="492">
        <f>+'Table A'!O63</f>
        <v>0.11479260900464983</v>
      </c>
    </row>
    <row r="63" spans="3:6" ht="19.5" x14ac:dyDescent="0.45">
      <c r="C63" s="491" t="str">
        <f>+'Table A'!B64</f>
        <v>Other</v>
      </c>
      <c r="D63" s="492">
        <f>+'Table A'!J64</f>
        <v>0</v>
      </c>
      <c r="E63" s="492">
        <f>+'Table A'!N64</f>
        <v>0</v>
      </c>
      <c r="F63" s="492">
        <f>+'Table A'!O64</f>
        <v>0</v>
      </c>
    </row>
  </sheetData>
  <autoFilter ref="H3:L24" xr:uid="{00000000-0001-0000-0700-000000000000}">
    <sortState xmlns:xlrd2="http://schemas.microsoft.com/office/spreadsheetml/2017/richdata2" ref="H4:L24">
      <sortCondition descending="1" ref="J3:J24"/>
    </sortState>
  </autoFilter>
  <sortState xmlns:xlrd2="http://schemas.microsoft.com/office/spreadsheetml/2017/richdata2" ref="H4:K24">
    <sortCondition descending="1" ref="J4:J24"/>
  </sortState>
  <mergeCells count="2">
    <mergeCell ref="D2:F2"/>
    <mergeCell ref="I2:K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B35E9-0E60-4619-ABED-AEAE1FCE8637}">
  <dimension ref="C4:E63"/>
  <sheetViews>
    <sheetView topLeftCell="A39" workbookViewId="0">
      <selection activeCell="H62" sqref="H62"/>
    </sheetView>
  </sheetViews>
  <sheetFormatPr defaultRowHeight="14.5" x14ac:dyDescent="0.35"/>
  <cols>
    <col min="1" max="16384" width="8.7265625" style="663"/>
  </cols>
  <sheetData>
    <row r="4" spans="4:5" x14ac:dyDescent="0.35">
      <c r="D4" s="663" t="s">
        <v>507</v>
      </c>
      <c r="E4" s="663" t="s">
        <v>508</v>
      </c>
    </row>
    <row r="18" spans="3:5" x14ac:dyDescent="0.35">
      <c r="D18" s="663" t="s">
        <v>509</v>
      </c>
      <c r="E18" s="663" t="s">
        <v>510</v>
      </c>
    </row>
    <row r="19" spans="3:5" x14ac:dyDescent="0.35">
      <c r="C19" s="663">
        <v>1975</v>
      </c>
      <c r="D19" s="663">
        <v>3.9517671230914431E-2</v>
      </c>
      <c r="E19" s="663">
        <v>0.14470206791406698</v>
      </c>
    </row>
    <row r="20" spans="3:5" x14ac:dyDescent="0.35">
      <c r="C20" s="663">
        <v>1976</v>
      </c>
      <c r="D20" s="663">
        <v>4.2340463869978785E-2</v>
      </c>
      <c r="E20" s="663">
        <v>0.14397126261561582</v>
      </c>
    </row>
    <row r="21" spans="3:5" x14ac:dyDescent="0.35">
      <c r="C21" s="663">
        <v>1977</v>
      </c>
      <c r="D21" s="663">
        <v>3.8154969011600294E-2</v>
      </c>
      <c r="E21" s="663">
        <v>0.1445614018544939</v>
      </c>
    </row>
    <row r="22" spans="3:5" x14ac:dyDescent="0.35">
      <c r="C22" s="663">
        <v>1978</v>
      </c>
      <c r="D22" s="663">
        <v>4.0643851190286316E-2</v>
      </c>
      <c r="E22" s="663">
        <v>0.14486121477397693</v>
      </c>
    </row>
    <row r="23" spans="3:5" x14ac:dyDescent="0.35">
      <c r="C23" s="663">
        <v>1979</v>
      </c>
      <c r="D23" s="663">
        <v>5.8991265673917902E-2</v>
      </c>
      <c r="E23" s="663">
        <v>0.14190607606739974</v>
      </c>
    </row>
    <row r="24" spans="3:5" x14ac:dyDescent="0.35">
      <c r="C24" s="663">
        <v>1980</v>
      </c>
      <c r="D24" s="663">
        <v>5.1606651452144603E-2</v>
      </c>
      <c r="E24" s="663">
        <v>0.13893632482514331</v>
      </c>
    </row>
    <row r="25" spans="3:5" x14ac:dyDescent="0.35">
      <c r="C25" s="663">
        <v>1981</v>
      </c>
      <c r="D25" s="663">
        <v>4.2229755996350538E-2</v>
      </c>
      <c r="E25" s="663">
        <v>0.14441739244778107</v>
      </c>
    </row>
    <row r="26" spans="3:5" x14ac:dyDescent="0.35">
      <c r="C26" s="663">
        <v>1982</v>
      </c>
      <c r="D26" s="663">
        <v>3.4810544743711716E-2</v>
      </c>
      <c r="E26" s="663">
        <v>0.14516043068528164</v>
      </c>
    </row>
    <row r="27" spans="3:5" x14ac:dyDescent="0.35">
      <c r="C27" s="663">
        <v>1983</v>
      </c>
      <c r="D27" s="663">
        <v>3.5934372019683518E-2</v>
      </c>
      <c r="E27" s="663">
        <v>0.15067141437877599</v>
      </c>
    </row>
    <row r="28" spans="3:5" x14ac:dyDescent="0.35">
      <c r="C28" s="663">
        <v>1984</v>
      </c>
      <c r="D28" s="663">
        <v>3.9915905352398924E-2</v>
      </c>
      <c r="E28" s="663">
        <v>0.15560705884144874</v>
      </c>
    </row>
    <row r="29" spans="3:5" x14ac:dyDescent="0.35">
      <c r="C29" s="663">
        <v>1985</v>
      </c>
      <c r="D29" s="663">
        <v>3.5856246989057969E-2</v>
      </c>
      <c r="E29" s="663">
        <v>0.15787049636712966</v>
      </c>
    </row>
    <row r="30" spans="3:5" x14ac:dyDescent="0.35">
      <c r="C30" s="663">
        <v>1986</v>
      </c>
      <c r="D30" s="663">
        <v>3.8408050494766366E-2</v>
      </c>
      <c r="E30" s="663">
        <v>0.15713913811353761</v>
      </c>
    </row>
    <row r="31" spans="3:5" x14ac:dyDescent="0.35">
      <c r="C31" s="663">
        <v>1987</v>
      </c>
      <c r="D31" s="663">
        <v>4.2975607423649996E-2</v>
      </c>
      <c r="E31" s="663">
        <v>0.15835844691816678</v>
      </c>
    </row>
    <row r="32" spans="3:5" x14ac:dyDescent="0.35">
      <c r="C32" s="663">
        <v>1988</v>
      </c>
      <c r="D32" s="663">
        <v>4.9200289610311462E-2</v>
      </c>
      <c r="E32" s="663">
        <v>0.16198837717118159</v>
      </c>
    </row>
    <row r="33" spans="3:5" x14ac:dyDescent="0.35">
      <c r="C33" s="663">
        <v>1989</v>
      </c>
      <c r="D33" s="663">
        <v>4.9235003396108125E-2</v>
      </c>
      <c r="E33" s="663">
        <v>0.16321954049849099</v>
      </c>
    </row>
    <row r="34" spans="3:5" x14ac:dyDescent="0.35">
      <c r="C34" s="663">
        <v>1990</v>
      </c>
      <c r="D34" s="663">
        <v>4.5864666584124032E-2</v>
      </c>
      <c r="E34" s="663">
        <v>0.15992041882154995</v>
      </c>
    </row>
    <row r="35" spans="3:5" x14ac:dyDescent="0.35">
      <c r="C35" s="663">
        <v>1991</v>
      </c>
      <c r="D35" s="663">
        <v>3.9175082863018414E-2</v>
      </c>
      <c r="E35" s="663">
        <v>0.1564549147222811</v>
      </c>
    </row>
    <row r="36" spans="3:5" x14ac:dyDescent="0.35">
      <c r="C36" s="663">
        <v>1992</v>
      </c>
      <c r="D36" s="663">
        <v>3.7604896736494295E-2</v>
      </c>
      <c r="E36" s="663">
        <v>0.15479722044315622</v>
      </c>
    </row>
    <row r="37" spans="3:5" x14ac:dyDescent="0.35">
      <c r="C37" s="663">
        <v>1993</v>
      </c>
      <c r="D37" s="663">
        <v>4.2923648522569538E-2</v>
      </c>
      <c r="E37" s="663">
        <v>0.15601794526942436</v>
      </c>
    </row>
    <row r="38" spans="3:5" x14ac:dyDescent="0.35">
      <c r="C38" s="663">
        <v>1994</v>
      </c>
      <c r="D38" s="663">
        <v>4.9021772096243324E-2</v>
      </c>
      <c r="E38" s="663">
        <v>0.16120024399049293</v>
      </c>
    </row>
    <row r="39" spans="3:5" x14ac:dyDescent="0.35">
      <c r="C39" s="663">
        <v>1995</v>
      </c>
      <c r="D39" s="663">
        <v>5.2284849767625673E-2</v>
      </c>
      <c r="E39" s="663">
        <v>0.16350535103761582</v>
      </c>
    </row>
    <row r="40" spans="3:5" x14ac:dyDescent="0.35">
      <c r="C40" s="663">
        <v>1996</v>
      </c>
      <c r="D40" s="663">
        <v>6.169362773939064E-2</v>
      </c>
      <c r="E40" s="663">
        <v>0.16612537731554916</v>
      </c>
    </row>
    <row r="41" spans="3:5" x14ac:dyDescent="0.35">
      <c r="C41" s="663">
        <v>1997</v>
      </c>
      <c r="D41" s="663">
        <v>6.5614923781717002E-2</v>
      </c>
      <c r="E41" s="663">
        <v>0.16905658686298317</v>
      </c>
    </row>
    <row r="42" spans="3:5" x14ac:dyDescent="0.35">
      <c r="C42" s="663">
        <v>1998</v>
      </c>
      <c r="D42" s="663">
        <v>6.545296520776768E-2</v>
      </c>
      <c r="E42" s="663">
        <v>0.16770399609041559</v>
      </c>
    </row>
    <row r="43" spans="3:5" x14ac:dyDescent="0.35">
      <c r="C43" s="663">
        <v>1999</v>
      </c>
      <c r="D43" s="663">
        <v>8.2441840940179603E-2</v>
      </c>
      <c r="E43" s="663">
        <v>0.16603567419961138</v>
      </c>
    </row>
    <row r="44" spans="3:5" x14ac:dyDescent="0.35">
      <c r="C44" s="663">
        <v>2000</v>
      </c>
      <c r="D44" s="663">
        <v>9.5347996860633624E-2</v>
      </c>
      <c r="E44" s="663">
        <v>0.16173886106400437</v>
      </c>
    </row>
    <row r="45" spans="3:5" x14ac:dyDescent="0.35">
      <c r="C45" s="663">
        <v>2001</v>
      </c>
      <c r="D45" s="663">
        <v>8.1004174605676341E-2</v>
      </c>
      <c r="E45" s="663">
        <v>0.16097701760114649</v>
      </c>
    </row>
    <row r="46" spans="3:5" x14ac:dyDescent="0.35">
      <c r="C46" s="663">
        <v>2002</v>
      </c>
      <c r="D46" s="663">
        <v>8.4976653688708048E-2</v>
      </c>
      <c r="E46" s="663">
        <v>0.16562429479480884</v>
      </c>
    </row>
    <row r="47" spans="3:5" x14ac:dyDescent="0.35">
      <c r="C47" s="663">
        <v>2003</v>
      </c>
      <c r="D47" s="663">
        <v>0.10365028500699139</v>
      </c>
      <c r="E47" s="663">
        <v>0.17028752212635573</v>
      </c>
    </row>
    <row r="48" spans="3:5" x14ac:dyDescent="0.35">
      <c r="C48" s="663">
        <v>2004</v>
      </c>
      <c r="D48" s="663">
        <v>0.13336791510510093</v>
      </c>
      <c r="E48" s="663">
        <v>0.17744971927147501</v>
      </c>
    </row>
    <row r="49" spans="3:5" x14ac:dyDescent="0.35">
      <c r="C49" s="663">
        <v>2005</v>
      </c>
      <c r="D49" s="663">
        <v>0.15906424406918185</v>
      </c>
      <c r="E49" s="663">
        <v>0.18059534068314209</v>
      </c>
    </row>
    <row r="50" spans="3:5" x14ac:dyDescent="0.35">
      <c r="C50" s="663">
        <v>2006</v>
      </c>
      <c r="D50" s="663">
        <v>0.16787251528349917</v>
      </c>
      <c r="E50" s="663">
        <v>0.18359636090393244</v>
      </c>
    </row>
    <row r="51" spans="3:5" x14ac:dyDescent="0.35">
      <c r="C51" s="663">
        <v>2007</v>
      </c>
      <c r="D51" s="663">
        <v>0.18110401031469744</v>
      </c>
      <c r="E51" s="663">
        <v>0.18348428437183417</v>
      </c>
    </row>
    <row r="52" spans="3:5" x14ac:dyDescent="0.35">
      <c r="C52" s="663">
        <v>2008</v>
      </c>
      <c r="D52" s="663">
        <v>0.14988601451008962</v>
      </c>
      <c r="E52" s="663">
        <v>0.18055457048188797</v>
      </c>
    </row>
    <row r="53" spans="3:5" x14ac:dyDescent="0.35">
      <c r="C53" s="663">
        <v>2009</v>
      </c>
      <c r="D53" s="663">
        <v>0.14898578184821715</v>
      </c>
      <c r="E53" s="663">
        <v>0.17855281871926884</v>
      </c>
    </row>
    <row r="54" spans="3:5" x14ac:dyDescent="0.35">
      <c r="C54" s="663">
        <v>2010</v>
      </c>
      <c r="D54" s="663">
        <v>0.17168841361525777</v>
      </c>
      <c r="E54" s="663">
        <v>0.18674684834289276</v>
      </c>
    </row>
    <row r="55" spans="3:5" x14ac:dyDescent="0.35">
      <c r="C55" s="663">
        <v>2011</v>
      </c>
      <c r="D55" s="663">
        <v>0.16912362182981472</v>
      </c>
      <c r="E55" s="663">
        <v>0.18506273739029191</v>
      </c>
    </row>
    <row r="56" spans="3:5" x14ac:dyDescent="0.35">
      <c r="C56" s="663">
        <v>2012</v>
      </c>
      <c r="D56" s="663">
        <v>0.15905782597509527</v>
      </c>
      <c r="E56" s="663">
        <v>0.18147799881404808</v>
      </c>
    </row>
    <row r="57" spans="3:5" x14ac:dyDescent="0.35">
      <c r="C57" s="663">
        <v>2013</v>
      </c>
      <c r="D57" s="663">
        <v>0.16055672901077334</v>
      </c>
      <c r="E57" s="663">
        <v>0.18181728523860391</v>
      </c>
    </row>
    <row r="58" spans="3:5" x14ac:dyDescent="0.35">
      <c r="C58" s="663">
        <v>2014</v>
      </c>
      <c r="D58" s="663">
        <v>0.16257022390757828</v>
      </c>
      <c r="E58" s="663">
        <v>0.18215657166315974</v>
      </c>
    </row>
    <row r="59" spans="3:5" x14ac:dyDescent="0.35">
      <c r="C59" s="663">
        <v>2015</v>
      </c>
      <c r="D59" s="663">
        <v>0.1479102583300671</v>
      </c>
      <c r="E59" s="663">
        <v>0.18464437358793825</v>
      </c>
    </row>
    <row r="60" spans="3:5" x14ac:dyDescent="0.35">
      <c r="C60" s="663">
        <v>2016</v>
      </c>
      <c r="D60" s="663">
        <v>0.15</v>
      </c>
      <c r="E60" s="663">
        <v>0.19355958240831084</v>
      </c>
    </row>
    <row r="61" spans="3:5" x14ac:dyDescent="0.35">
      <c r="C61" s="663">
        <v>2017</v>
      </c>
      <c r="D61" s="663">
        <v>0.15820000000000001</v>
      </c>
      <c r="E61" s="663">
        <v>0.19258990801824963</v>
      </c>
    </row>
    <row r="62" spans="3:5" x14ac:dyDescent="0.35">
      <c r="C62" s="663">
        <v>2018</v>
      </c>
      <c r="D62" s="663">
        <v>0.189</v>
      </c>
      <c r="E62" s="663">
        <v>0.19670500813489464</v>
      </c>
    </row>
    <row r="63" spans="3:5" x14ac:dyDescent="0.35">
      <c r="C63" s="663">
        <v>2019</v>
      </c>
      <c r="D63" s="663">
        <v>0.17799999999999999</v>
      </c>
      <c r="E63" s="663">
        <v>0.19996877996009457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43A38-7EC4-46D8-8F97-9DA0039C5817}">
  <sheetPr>
    <pageSetUpPr fitToPage="1"/>
  </sheetPr>
  <dimension ref="A2:AB90"/>
  <sheetViews>
    <sheetView zoomScale="88" workbookViewId="0">
      <pane xSplit="1" ySplit="9" topLeftCell="B79" activePane="bottomRight" state="frozen"/>
      <selection activeCell="H62" sqref="H62"/>
      <selection pane="topRight" activeCell="H62" sqref="H62"/>
      <selection pane="bottomLeft" activeCell="H62" sqref="H62"/>
      <selection pane="bottomRight" activeCell="H62" sqref="H62"/>
    </sheetView>
  </sheetViews>
  <sheetFormatPr defaultColWidth="11" defaultRowHeight="15.5" x14ac:dyDescent="0.35"/>
  <cols>
    <col min="1" max="1" width="19.26953125" style="696" customWidth="1"/>
    <col min="2" max="9" width="11.453125" style="696" customWidth="1"/>
    <col min="10" max="10" width="10.81640625" style="696" customWidth="1"/>
    <col min="11" max="16384" width="11" style="696"/>
  </cols>
  <sheetData>
    <row r="2" spans="1:28" ht="16" thickBot="1" x14ac:dyDescent="0.4"/>
    <row r="3" spans="1:28" ht="32" customHeight="1" thickTop="1" x14ac:dyDescent="0.35">
      <c r="A3" s="697" t="s">
        <v>511</v>
      </c>
      <c r="B3" s="698"/>
      <c r="C3" s="698"/>
      <c r="D3" s="698"/>
      <c r="E3" s="698"/>
      <c r="F3" s="698"/>
      <c r="G3" s="698"/>
      <c r="H3" s="698"/>
      <c r="I3" s="698"/>
      <c r="J3" s="698"/>
      <c r="K3" s="698"/>
      <c r="L3" s="698"/>
      <c r="M3" s="698"/>
      <c r="N3" s="698"/>
      <c r="O3" s="698"/>
      <c r="P3" s="698"/>
      <c r="Q3" s="699"/>
    </row>
    <row r="4" spans="1:28" ht="12" customHeight="1" x14ac:dyDescent="0.35">
      <c r="A4" s="700"/>
      <c r="B4" s="701"/>
      <c r="C4" s="701"/>
      <c r="D4" s="701"/>
      <c r="E4" s="701"/>
      <c r="F4" s="701"/>
      <c r="G4" s="701"/>
      <c r="Q4" s="702"/>
    </row>
    <row r="5" spans="1:28" x14ac:dyDescent="0.35">
      <c r="A5" s="703"/>
      <c r="B5" s="704" t="s">
        <v>1</v>
      </c>
      <c r="C5" s="704" t="s">
        <v>2</v>
      </c>
      <c r="D5" s="704" t="s">
        <v>3</v>
      </c>
      <c r="E5" s="704" t="s">
        <v>4</v>
      </c>
      <c r="F5" s="704" t="s">
        <v>5</v>
      </c>
      <c r="G5" s="704" t="s">
        <v>6</v>
      </c>
      <c r="H5" s="704" t="s">
        <v>7</v>
      </c>
      <c r="I5" s="704"/>
      <c r="J5" s="704" t="s">
        <v>8</v>
      </c>
      <c r="K5" s="704" t="s">
        <v>9</v>
      </c>
      <c r="L5" s="704" t="s">
        <v>10</v>
      </c>
      <c r="M5" s="705" t="s">
        <v>11</v>
      </c>
      <c r="N5" s="704" t="s">
        <v>12</v>
      </c>
      <c r="O5" s="704" t="s">
        <v>13</v>
      </c>
      <c r="P5" s="705" t="s">
        <v>14</v>
      </c>
      <c r="Q5" s="706" t="s">
        <v>331</v>
      </c>
    </row>
    <row r="6" spans="1:28" ht="21" customHeight="1" thickBot="1" x14ac:dyDescent="0.4">
      <c r="A6" s="703"/>
      <c r="B6" s="707" t="s">
        <v>512</v>
      </c>
      <c r="C6" s="708"/>
      <c r="D6" s="708"/>
      <c r="E6" s="708"/>
      <c r="F6" s="708"/>
      <c r="G6" s="708"/>
      <c r="H6" s="707" t="s">
        <v>513</v>
      </c>
      <c r="I6" s="708"/>
      <c r="J6" s="708"/>
      <c r="K6" s="708"/>
      <c r="L6" s="708"/>
      <c r="M6" s="708"/>
      <c r="N6" s="708"/>
      <c r="O6" s="708"/>
      <c r="P6" s="709" t="s">
        <v>514</v>
      </c>
      <c r="Q6" s="710" t="s">
        <v>515</v>
      </c>
    </row>
    <row r="7" spans="1:28" ht="21" customHeight="1" x14ac:dyDescent="0.35">
      <c r="A7" s="703"/>
      <c r="B7" s="711" t="s">
        <v>516</v>
      </c>
      <c r="C7" s="712"/>
      <c r="D7" s="712"/>
      <c r="E7" s="712"/>
      <c r="F7" s="712"/>
      <c r="G7" s="712"/>
      <c r="H7" s="711" t="s">
        <v>516</v>
      </c>
      <c r="I7" s="712"/>
      <c r="J7" s="712"/>
      <c r="K7" s="712"/>
      <c r="L7" s="712"/>
      <c r="M7" s="712"/>
      <c r="N7" s="712"/>
      <c r="O7" s="712"/>
      <c r="P7" s="713"/>
      <c r="Q7" s="714"/>
    </row>
    <row r="8" spans="1:28" ht="85" customHeight="1" x14ac:dyDescent="0.35">
      <c r="A8" s="703"/>
      <c r="B8" s="715" t="s">
        <v>517</v>
      </c>
      <c r="C8" s="716" t="s">
        <v>46</v>
      </c>
      <c r="D8" s="717" t="s">
        <v>518</v>
      </c>
      <c r="E8" s="716" t="s">
        <v>63</v>
      </c>
      <c r="F8" s="717" t="s">
        <v>519</v>
      </c>
      <c r="G8" s="716" t="s">
        <v>116</v>
      </c>
      <c r="H8" s="715" t="s">
        <v>520</v>
      </c>
      <c r="I8" s="718" t="s">
        <v>521</v>
      </c>
      <c r="J8" s="716" t="s">
        <v>46</v>
      </c>
      <c r="K8" s="717" t="s">
        <v>518</v>
      </c>
      <c r="L8" s="717" t="s">
        <v>63</v>
      </c>
      <c r="M8" s="717" t="s">
        <v>519</v>
      </c>
      <c r="N8" s="716" t="s">
        <v>116</v>
      </c>
      <c r="O8" s="719" t="s">
        <v>122</v>
      </c>
      <c r="P8" s="713"/>
      <c r="Q8" s="714"/>
      <c r="U8" s="696" t="s">
        <v>522</v>
      </c>
      <c r="V8" s="696" t="s">
        <v>523</v>
      </c>
      <c r="W8" s="696" t="s">
        <v>524</v>
      </c>
      <c r="X8" s="696" t="s">
        <v>525</v>
      </c>
      <c r="Z8" s="696" t="s">
        <v>526</v>
      </c>
      <c r="AA8" s="696" t="s">
        <v>527</v>
      </c>
      <c r="AB8" s="696" t="s">
        <v>528</v>
      </c>
    </row>
    <row r="9" spans="1:28" ht="33" customHeight="1" x14ac:dyDescent="0.35">
      <c r="A9" s="703"/>
      <c r="B9" s="720"/>
      <c r="C9" s="721"/>
      <c r="D9" s="721"/>
      <c r="E9" s="721"/>
      <c r="F9" s="721"/>
      <c r="G9" s="721"/>
      <c r="H9" s="720"/>
      <c r="I9" s="721"/>
      <c r="J9" s="722"/>
      <c r="K9" s="723"/>
      <c r="L9" s="723"/>
      <c r="M9" s="723"/>
      <c r="N9" s="723"/>
      <c r="O9" s="722"/>
      <c r="P9" s="724"/>
      <c r="Q9" s="725"/>
      <c r="U9" s="696" t="s">
        <v>529</v>
      </c>
      <c r="V9" s="696" t="s">
        <v>530</v>
      </c>
      <c r="X9" s="696" t="s">
        <v>531</v>
      </c>
      <c r="Z9" s="696" t="s">
        <v>532</v>
      </c>
      <c r="AA9" s="696" t="s">
        <v>532</v>
      </c>
      <c r="AB9" s="696" t="s">
        <v>533</v>
      </c>
    </row>
    <row r="10" spans="1:28" ht="14" hidden="1" customHeight="1" x14ac:dyDescent="0.35">
      <c r="A10" s="726">
        <v>1966</v>
      </c>
      <c r="B10" s="727">
        <v>3.3040656503871023E-2</v>
      </c>
      <c r="C10" s="728">
        <v>1.898637424880497E-3</v>
      </c>
      <c r="D10" s="728">
        <v>5.6880975747719519E-3</v>
      </c>
      <c r="E10" s="728">
        <v>1.2101307127591675E-2</v>
      </c>
      <c r="F10" s="728">
        <v>1.2953765629503422E-2</v>
      </c>
      <c r="G10" s="728">
        <v>3.9884874712347288E-4</v>
      </c>
      <c r="H10" s="727">
        <f t="shared" ref="H10:H25" si="0">J10+K10+L10+M10+N10+O10</f>
        <v>3.8162096190127621E-2</v>
      </c>
      <c r="I10" s="729"/>
      <c r="J10" s="730">
        <f t="shared" ref="J10:N25" si="1">C10*$P10/($P10+$Q10)</f>
        <v>1.8885814105061617E-3</v>
      </c>
      <c r="K10" s="730">
        <f t="shared" si="1"/>
        <v>5.65797092171805E-3</v>
      </c>
      <c r="L10" s="730">
        <f t="shared" si="1"/>
        <v>1.2037213311242844E-2</v>
      </c>
      <c r="M10" s="730">
        <f t="shared" si="1"/>
        <v>1.2885156820014556E-2</v>
      </c>
      <c r="N10" s="730">
        <f t="shared" si="1"/>
        <v>3.9673626967954401E-4</v>
      </c>
      <c r="O10" s="730">
        <f t="shared" ref="O10:O25" si="2">Q10/(Q10+P10)</f>
        <v>5.2964374569664631E-3</v>
      </c>
      <c r="P10" s="731">
        <v>9.4228154727834763</v>
      </c>
      <c r="Q10" s="732">
        <v>5.0173091461079823E-2</v>
      </c>
      <c r="S10" s="733">
        <f t="shared" ref="S10:S25" si="3">B10-C10-D10-E10-F10-G10</f>
        <v>3.3068166260807885E-18</v>
      </c>
      <c r="U10" s="734"/>
    </row>
    <row r="11" spans="1:28" ht="14" hidden="1" customHeight="1" x14ac:dyDescent="0.35">
      <c r="A11" s="735">
        <v>1967</v>
      </c>
      <c r="B11" s="736">
        <v>3.619953501609862E-2</v>
      </c>
      <c r="C11" s="737">
        <v>2.5292380756968959E-3</v>
      </c>
      <c r="D11" s="737">
        <v>6.7474486434360419E-3</v>
      </c>
      <c r="E11" s="737">
        <v>1.2981742301347356E-2</v>
      </c>
      <c r="F11" s="737">
        <v>1.3311776880172913E-2</v>
      </c>
      <c r="G11" s="737">
        <v>6.2932911544540441E-4</v>
      </c>
      <c r="H11" s="736">
        <f t="shared" si="0"/>
        <v>4.1739457176158845E-2</v>
      </c>
      <c r="I11" s="738"/>
      <c r="J11" s="739">
        <f t="shared" si="1"/>
        <v>2.5147000228813105E-3</v>
      </c>
      <c r="K11" s="739">
        <f t="shared" si="1"/>
        <v>6.7086643290247966E-3</v>
      </c>
      <c r="L11" s="739">
        <f t="shared" si="1"/>
        <v>1.2907123285830874E-2</v>
      </c>
      <c r="M11" s="739">
        <f t="shared" si="1"/>
        <v>1.3235260826894728E-2</v>
      </c>
      <c r="N11" s="739">
        <f t="shared" si="1"/>
        <v>6.2571173359169741E-4</v>
      </c>
      <c r="O11" s="739">
        <f t="shared" si="2"/>
        <v>5.7479969779354358E-3</v>
      </c>
      <c r="P11" s="740">
        <v>10.244990314210032</v>
      </c>
      <c r="Q11" s="741">
        <v>5.9228619289741803E-2</v>
      </c>
      <c r="S11" s="733">
        <f t="shared" si="3"/>
        <v>7.1557343384043293E-18</v>
      </c>
      <c r="U11" s="734"/>
    </row>
    <row r="12" spans="1:28" ht="14" hidden="1" customHeight="1" x14ac:dyDescent="0.35">
      <c r="A12" s="735">
        <v>1968</v>
      </c>
      <c r="B12" s="736">
        <v>3.5579051424552213E-2</v>
      </c>
      <c r="C12" s="737">
        <v>1.6850844632500005E-3</v>
      </c>
      <c r="D12" s="737">
        <v>4.6494211014773898E-3</v>
      </c>
      <c r="E12" s="737">
        <v>1.4264690140101462E-2</v>
      </c>
      <c r="F12" s="737">
        <v>1.409833513667574E-2</v>
      </c>
      <c r="G12" s="737">
        <v>8.8152058304761865E-4</v>
      </c>
      <c r="H12" s="736">
        <f t="shared" si="0"/>
        <v>4.107391210916362E-2</v>
      </c>
      <c r="I12" s="738"/>
      <c r="J12" s="739">
        <f t="shared" si="1"/>
        <v>1.6754835681418645E-3</v>
      </c>
      <c r="K12" s="739">
        <f t="shared" si="1"/>
        <v>4.6229306760522185E-3</v>
      </c>
      <c r="L12" s="739">
        <f t="shared" si="1"/>
        <v>1.418341599819819E-2</v>
      </c>
      <c r="M12" s="739">
        <f t="shared" si="1"/>
        <v>1.4018008814880859E-2</v>
      </c>
      <c r="N12" s="739">
        <f t="shared" si="1"/>
        <v>8.7649805341300326E-4</v>
      </c>
      <c r="O12" s="739">
        <f t="shared" si="2"/>
        <v>5.6975749984774782E-3</v>
      </c>
      <c r="P12" s="740">
        <v>11.682860923865118</v>
      </c>
      <c r="Q12" s="741">
        <v>6.6945402763552014E-2</v>
      </c>
      <c r="S12" s="733">
        <f t="shared" si="3"/>
        <v>5.6378512969246231E-18</v>
      </c>
      <c r="U12" s="734"/>
    </row>
    <row r="13" spans="1:28" ht="14" hidden="1" customHeight="1" x14ac:dyDescent="0.35">
      <c r="A13" s="742">
        <v>1969</v>
      </c>
      <c r="B13" s="743">
        <v>3.7168831829668146E-2</v>
      </c>
      <c r="C13" s="744">
        <v>1.6841489799379963E-3</v>
      </c>
      <c r="D13" s="744">
        <v>4.621053804767951E-3</v>
      </c>
      <c r="E13" s="744">
        <v>1.5195924133777124E-2</v>
      </c>
      <c r="F13" s="744">
        <v>1.4552992943769738E-2</v>
      </c>
      <c r="G13" s="744">
        <v>1.1147119674153408E-3</v>
      </c>
      <c r="H13" s="743">
        <f t="shared" si="0"/>
        <v>4.288913133228664E-2</v>
      </c>
      <c r="I13" s="745"/>
      <c r="J13" s="746">
        <f t="shared" si="1"/>
        <v>1.6741432417662855E-3</v>
      </c>
      <c r="K13" s="746">
        <f t="shared" si="1"/>
        <v>4.5935995504242542E-3</v>
      </c>
      <c r="L13" s="746">
        <f t="shared" si="1"/>
        <v>1.5105643261971263E-2</v>
      </c>
      <c r="M13" s="746">
        <f t="shared" si="1"/>
        <v>1.4466531805981635E-2</v>
      </c>
      <c r="N13" s="746">
        <f t="shared" si="1"/>
        <v>1.1080893252288751E-3</v>
      </c>
      <c r="O13" s="746">
        <f t="shared" si="2"/>
        <v>5.9411241469143287E-3</v>
      </c>
      <c r="P13" s="747">
        <v>13.434163832120014</v>
      </c>
      <c r="Q13" s="748">
        <v>8.029105425784383E-2</v>
      </c>
      <c r="S13" s="733">
        <f t="shared" si="3"/>
        <v>-2.8189256484623115E-18</v>
      </c>
      <c r="U13" s="734"/>
    </row>
    <row r="14" spans="1:28" ht="14" hidden="1" customHeight="1" x14ac:dyDescent="0.35">
      <c r="A14" s="749">
        <v>1970</v>
      </c>
      <c r="B14" s="750">
        <v>4.7872629542884619E-2</v>
      </c>
      <c r="C14" s="751">
        <v>4.3901504668719549E-3</v>
      </c>
      <c r="D14" s="751">
        <v>1.1349787357197525E-2</v>
      </c>
      <c r="E14" s="751">
        <v>1.5940051003780015E-2</v>
      </c>
      <c r="F14" s="751">
        <v>1.4861916465841916E-2</v>
      </c>
      <c r="G14" s="751">
        <v>1.3307242491931988E-3</v>
      </c>
      <c r="H14" s="750">
        <f t="shared" si="0"/>
        <v>5.4978519381143988E-2</v>
      </c>
      <c r="I14" s="752"/>
      <c r="J14" s="753">
        <f t="shared" si="1"/>
        <v>4.3573860211066811E-3</v>
      </c>
      <c r="K14" s="753">
        <f t="shared" si="1"/>
        <v>1.1265081947868525E-2</v>
      </c>
      <c r="L14" s="753">
        <f t="shared" si="1"/>
        <v>1.5821087669709789E-2</v>
      </c>
      <c r="M14" s="753">
        <f t="shared" si="1"/>
        <v>1.4750999434708797E-2</v>
      </c>
      <c r="N14" s="753">
        <f t="shared" si="1"/>
        <v>1.3207928259264489E-3</v>
      </c>
      <c r="O14" s="753">
        <f t="shared" si="2"/>
        <v>7.4631714818237495E-3</v>
      </c>
      <c r="P14" s="754">
        <v>14.508208982900875</v>
      </c>
      <c r="Q14" s="755">
        <v>0.10909141950448248</v>
      </c>
      <c r="S14" s="733">
        <f t="shared" si="3"/>
        <v>7.3725747729014302E-18</v>
      </c>
      <c r="U14" s="734"/>
    </row>
    <row r="15" spans="1:28" ht="14" hidden="1" customHeight="1" x14ac:dyDescent="0.35">
      <c r="A15" s="735">
        <v>1971</v>
      </c>
      <c r="B15" s="736">
        <v>4.8041310617690333E-2</v>
      </c>
      <c r="C15" s="737">
        <v>3.7451690308618378E-3</v>
      </c>
      <c r="D15" s="737">
        <v>9.922438215876692E-3</v>
      </c>
      <c r="E15" s="737">
        <v>1.653669746679988E-2</v>
      </c>
      <c r="F15" s="737">
        <v>1.6886825283613769E-2</v>
      </c>
      <c r="G15" s="737">
        <v>9.5018062053815592E-4</v>
      </c>
      <c r="H15" s="736">
        <f t="shared" si="0"/>
        <v>5.5180847234238557E-2</v>
      </c>
      <c r="I15" s="738"/>
      <c r="J15" s="739">
        <f t="shared" si="1"/>
        <v>3.7170808672374795E-3</v>
      </c>
      <c r="K15" s="739">
        <f t="shared" si="1"/>
        <v>9.8480215297769465E-3</v>
      </c>
      <c r="L15" s="739">
        <f t="shared" si="1"/>
        <v>1.6412674903218256E-2</v>
      </c>
      <c r="M15" s="739">
        <f t="shared" si="1"/>
        <v>1.6760176817882718E-2</v>
      </c>
      <c r="N15" s="739">
        <f t="shared" si="1"/>
        <v>9.4305441915113115E-4</v>
      </c>
      <c r="O15" s="739">
        <f t="shared" si="2"/>
        <v>7.4998386969720252E-3</v>
      </c>
      <c r="P15" s="740">
        <v>18.588267365410385</v>
      </c>
      <c r="Q15" s="741">
        <v>0.14046245263450691</v>
      </c>
      <c r="S15" s="733">
        <f t="shared" si="3"/>
        <v>-1.951563910473908E-18</v>
      </c>
      <c r="U15" s="734"/>
    </row>
    <row r="16" spans="1:28" ht="14" hidden="1" customHeight="1" x14ac:dyDescent="0.35">
      <c r="A16" s="735">
        <v>1972</v>
      </c>
      <c r="B16" s="736">
        <v>4.5857490571448237E-2</v>
      </c>
      <c r="C16" s="737">
        <v>2.6950100809650245E-3</v>
      </c>
      <c r="D16" s="737">
        <v>7.1900952017752403E-3</v>
      </c>
      <c r="E16" s="737">
        <v>1.6112458814536285E-2</v>
      </c>
      <c r="F16" s="737">
        <v>1.6893105932405832E-2</v>
      </c>
      <c r="G16" s="737">
        <v>2.9668205417658572E-3</v>
      </c>
      <c r="H16" s="736">
        <f t="shared" si="0"/>
        <v>5.2671559842204521E-2</v>
      </c>
      <c r="I16" s="738"/>
      <c r="J16" s="739">
        <f t="shared" si="1"/>
        <v>2.6757634954753156E-3</v>
      </c>
      <c r="K16" s="739">
        <f t="shared" si="1"/>
        <v>7.1387466806852699E-3</v>
      </c>
      <c r="L16" s="739">
        <f t="shared" si="1"/>
        <v>1.5997390667588075E-2</v>
      </c>
      <c r="M16" s="739">
        <f t="shared" si="1"/>
        <v>1.6772462744533846E-2</v>
      </c>
      <c r="N16" s="739">
        <f t="shared" si="1"/>
        <v>2.9456328046241565E-3</v>
      </c>
      <c r="O16" s="739">
        <f t="shared" si="2"/>
        <v>7.1415634492978559E-3</v>
      </c>
      <c r="P16" s="740">
        <v>22.297871023862761</v>
      </c>
      <c r="Q16" s="741">
        <v>0.16038707517498552</v>
      </c>
      <c r="S16" s="733">
        <f t="shared" si="3"/>
        <v>-4.3368086899420177E-18</v>
      </c>
      <c r="U16" s="734"/>
    </row>
    <row r="17" spans="1:28" ht="14" hidden="1" customHeight="1" x14ac:dyDescent="0.35">
      <c r="A17" s="735">
        <v>1973</v>
      </c>
      <c r="B17" s="736">
        <v>5.8957352454350805E-2</v>
      </c>
      <c r="C17" s="737">
        <v>4.6483780878436203E-3</v>
      </c>
      <c r="D17" s="737">
        <v>1.2851813221375213E-2</v>
      </c>
      <c r="E17" s="737">
        <v>1.7490885750707012E-2</v>
      </c>
      <c r="F17" s="737">
        <v>1.9648997609632707E-2</v>
      </c>
      <c r="G17" s="737">
        <v>4.3172777847922585E-3</v>
      </c>
      <c r="H17" s="736">
        <f t="shared" si="0"/>
        <v>6.4529578625502265E-2</v>
      </c>
      <c r="I17" s="738"/>
      <c r="J17" s="739">
        <f t="shared" si="1"/>
        <v>4.6208534967934235E-3</v>
      </c>
      <c r="K17" s="739">
        <f t="shared" si="1"/>
        <v>1.2775713365363723E-2</v>
      </c>
      <c r="L17" s="739">
        <f t="shared" si="1"/>
        <v>1.738731640494898E-2</v>
      </c>
      <c r="M17" s="739">
        <f t="shared" si="1"/>
        <v>1.9532649366539957E-2</v>
      </c>
      <c r="N17" s="739">
        <f t="shared" si="1"/>
        <v>4.2917137486422566E-3</v>
      </c>
      <c r="O17" s="739">
        <f t="shared" si="2"/>
        <v>5.9213322432139235E-3</v>
      </c>
      <c r="P17" s="740">
        <v>33.961296166346642</v>
      </c>
      <c r="Q17" s="741">
        <v>0.20229396780529896</v>
      </c>
      <c r="S17" s="733">
        <f t="shared" si="3"/>
        <v>-8.6736173798840355E-18</v>
      </c>
      <c r="U17" s="734"/>
    </row>
    <row r="18" spans="1:28" ht="14" hidden="1" customHeight="1" x14ac:dyDescent="0.35">
      <c r="A18" s="735">
        <v>1974</v>
      </c>
      <c r="B18" s="736">
        <v>5.1899076728985312E-2</v>
      </c>
      <c r="C18" s="737">
        <v>4.6263527159735481E-3</v>
      </c>
      <c r="D18" s="737">
        <v>1.2432364287132833E-2</v>
      </c>
      <c r="E18" s="737">
        <v>1.2665265863785531E-2</v>
      </c>
      <c r="F18" s="737">
        <v>1.8402147726217209E-2</v>
      </c>
      <c r="G18" s="737">
        <v>3.7729461358762006E-3</v>
      </c>
      <c r="H18" s="736">
        <f t="shared" si="0"/>
        <v>5.603566398457889E-2</v>
      </c>
      <c r="I18" s="738"/>
      <c r="J18" s="739">
        <f t="shared" si="1"/>
        <v>4.6061678271974126E-3</v>
      </c>
      <c r="K18" s="739">
        <f t="shared" si="1"/>
        <v>1.2378121581103583E-2</v>
      </c>
      <c r="L18" s="739">
        <f t="shared" si="1"/>
        <v>1.2610007002545224E-2</v>
      </c>
      <c r="M18" s="739">
        <f t="shared" si="1"/>
        <v>1.8321858710679505E-2</v>
      </c>
      <c r="N18" s="739">
        <f t="shared" si="1"/>
        <v>3.756484680646455E-3</v>
      </c>
      <c r="O18" s="739">
        <f t="shared" si="2"/>
        <v>4.3630241824067122E-3</v>
      </c>
      <c r="P18" s="740">
        <v>61.350978805566598</v>
      </c>
      <c r="Q18" s="741">
        <v>0.26884879794987498</v>
      </c>
      <c r="S18" s="733">
        <f t="shared" si="3"/>
        <v>-1.2576745200831851E-17</v>
      </c>
      <c r="U18" s="734"/>
    </row>
    <row r="19" spans="1:28" ht="14" hidden="1" customHeight="1" x14ac:dyDescent="0.35">
      <c r="A19" s="735">
        <v>1975</v>
      </c>
      <c r="B19" s="736">
        <v>5.1837146481650331E-2</v>
      </c>
      <c r="C19" s="737">
        <v>3.4229565668976404E-3</v>
      </c>
      <c r="D19" s="737">
        <v>9.1923484662654077E-3</v>
      </c>
      <c r="E19" s="737">
        <v>1.0897782275265404E-2</v>
      </c>
      <c r="F19" s="737">
        <v>2.4151502504292623E-2</v>
      </c>
      <c r="G19" s="737">
        <v>4.1725566689292557E-3</v>
      </c>
      <c r="H19" s="736">
        <f t="shared" si="0"/>
        <v>5.7027266029947607E-2</v>
      </c>
      <c r="I19" s="738"/>
      <c r="J19" s="739">
        <f t="shared" si="1"/>
        <v>3.4042197499838524E-3</v>
      </c>
      <c r="K19" s="739">
        <f t="shared" si="1"/>
        <v>9.142030752074759E-3</v>
      </c>
      <c r="L19" s="739">
        <f t="shared" si="1"/>
        <v>1.0838129239281066E-2</v>
      </c>
      <c r="M19" s="739">
        <f t="shared" si="1"/>
        <v>2.4019300335853786E-2</v>
      </c>
      <c r="N19" s="739">
        <f t="shared" si="1"/>
        <v>4.1497166390193846E-3</v>
      </c>
      <c r="O19" s="739">
        <f t="shared" si="2"/>
        <v>5.4738693137347614E-3</v>
      </c>
      <c r="P19" s="740">
        <v>58.650392421020527</v>
      </c>
      <c r="Q19" s="741">
        <v>0.32281161188835905</v>
      </c>
      <c r="S19" s="733">
        <f t="shared" si="3"/>
        <v>0</v>
      </c>
      <c r="U19" s="734"/>
    </row>
    <row r="20" spans="1:28" ht="14" hidden="1" customHeight="1" x14ac:dyDescent="0.35">
      <c r="A20" s="735">
        <v>1976</v>
      </c>
      <c r="B20" s="736">
        <v>4.4775937912194405E-2</v>
      </c>
      <c r="C20" s="737">
        <v>3.1938090775673078E-3</v>
      </c>
      <c r="D20" s="737">
        <v>8.6560177785785647E-3</v>
      </c>
      <c r="E20" s="737">
        <v>8.5150864965612364E-3</v>
      </c>
      <c r="F20" s="737">
        <v>2.1721506611042881E-2</v>
      </c>
      <c r="G20" s="737">
        <v>2.6895179484444183E-3</v>
      </c>
      <c r="H20" s="736">
        <f t="shared" si="0"/>
        <v>5.0436454927728996E-2</v>
      </c>
      <c r="I20" s="738"/>
      <c r="J20" s="739">
        <f t="shared" si="1"/>
        <v>3.1748830356620977E-3</v>
      </c>
      <c r="K20" s="739">
        <f t="shared" si="1"/>
        <v>8.6047234929056068E-3</v>
      </c>
      <c r="L20" s="739">
        <f t="shared" si="1"/>
        <v>8.4646273488957289E-3</v>
      </c>
      <c r="M20" s="739">
        <f t="shared" si="1"/>
        <v>2.1592788164078596E-2</v>
      </c>
      <c r="N20" s="739">
        <f t="shared" si="1"/>
        <v>2.6735802614503527E-3</v>
      </c>
      <c r="O20" s="739">
        <f t="shared" si="2"/>
        <v>5.9258526247366059E-3</v>
      </c>
      <c r="P20" s="740">
        <v>76.24868802241302</v>
      </c>
      <c r="Q20" s="741">
        <v>0.45453197756260488</v>
      </c>
      <c r="S20" s="733">
        <f t="shared" si="3"/>
        <v>0</v>
      </c>
      <c r="U20" s="734"/>
    </row>
    <row r="21" spans="1:28" ht="14" hidden="1" customHeight="1" x14ac:dyDescent="0.35">
      <c r="A21" s="735">
        <v>1977</v>
      </c>
      <c r="B21" s="736">
        <v>5.6318961250691434E-2</v>
      </c>
      <c r="C21" s="737">
        <v>4.3814958222946811E-3</v>
      </c>
      <c r="D21" s="737">
        <v>1.4294448164429823E-2</v>
      </c>
      <c r="E21" s="737">
        <v>1.0946461323473754E-2</v>
      </c>
      <c r="F21" s="737">
        <v>2.4061835861306006E-2</v>
      </c>
      <c r="G21" s="737">
        <v>2.6347200791871669E-3</v>
      </c>
      <c r="H21" s="736">
        <f t="shared" si="0"/>
        <v>6.3992654966454648E-2</v>
      </c>
      <c r="I21" s="738"/>
      <c r="J21" s="739">
        <f t="shared" si="1"/>
        <v>4.3458669863039251E-3</v>
      </c>
      <c r="K21" s="739">
        <f t="shared" si="1"/>
        <v>1.4178210566612804E-2</v>
      </c>
      <c r="L21" s="739">
        <f t="shared" si="1"/>
        <v>1.0857448417609805E-2</v>
      </c>
      <c r="M21" s="739">
        <f t="shared" si="1"/>
        <v>2.3866173183921553E-2</v>
      </c>
      <c r="N21" s="739">
        <f t="shared" si="1"/>
        <v>2.61329543030236E-3</v>
      </c>
      <c r="O21" s="739">
        <f t="shared" si="2"/>
        <v>8.1316603817042001E-3</v>
      </c>
      <c r="P21" s="740">
        <v>68.697999999999993</v>
      </c>
      <c r="Q21" s="741">
        <v>0.56320862617441159</v>
      </c>
      <c r="S21" s="733">
        <f t="shared" si="3"/>
        <v>0</v>
      </c>
      <c r="U21" s="734"/>
    </row>
    <row r="22" spans="1:28" ht="14" hidden="1" customHeight="1" x14ac:dyDescent="0.35">
      <c r="A22" s="735">
        <v>1978</v>
      </c>
      <c r="B22" s="736">
        <v>7.704350223904588E-2</v>
      </c>
      <c r="C22" s="737">
        <v>6.4426001697639804E-3</v>
      </c>
      <c r="D22" s="737">
        <v>1.6811347270981686E-2</v>
      </c>
      <c r="E22" s="737">
        <v>1.4818415092544749E-2</v>
      </c>
      <c r="F22" s="737">
        <v>3.465001432876999E-2</v>
      </c>
      <c r="G22" s="737">
        <v>4.3211253769854605E-3</v>
      </c>
      <c r="H22" s="736">
        <f t="shared" si="0"/>
        <v>8.6702869480800304E-2</v>
      </c>
      <c r="I22" s="738"/>
      <c r="J22" s="739">
        <f t="shared" si="1"/>
        <v>6.375173978841105E-3</v>
      </c>
      <c r="K22" s="739">
        <f t="shared" si="1"/>
        <v>1.6635405092219179E-2</v>
      </c>
      <c r="L22" s="739">
        <f t="shared" si="1"/>
        <v>1.4663330303969244E-2</v>
      </c>
      <c r="M22" s="739">
        <f t="shared" si="1"/>
        <v>3.4287378371229638E-2</v>
      </c>
      <c r="N22" s="739">
        <f t="shared" si="1"/>
        <v>4.2759018621012545E-3</v>
      </c>
      <c r="O22" s="739">
        <f t="shared" si="2"/>
        <v>1.0465679872439883E-2</v>
      </c>
      <c r="P22" s="740">
        <v>72.894579840390378</v>
      </c>
      <c r="Q22" s="741">
        <v>0.77095995715155363</v>
      </c>
      <c r="S22" s="733">
        <f t="shared" si="3"/>
        <v>1.9081958235744878E-17</v>
      </c>
      <c r="U22" s="734"/>
    </row>
    <row r="23" spans="1:28" ht="14" hidden="1" customHeight="1" x14ac:dyDescent="0.35">
      <c r="A23" s="742">
        <v>1979</v>
      </c>
      <c r="B23" s="743">
        <v>8.9828881510760308E-2</v>
      </c>
      <c r="C23" s="744">
        <v>7.9652436048524271E-3</v>
      </c>
      <c r="D23" s="744">
        <v>1.7127800372071462E-2</v>
      </c>
      <c r="E23" s="744">
        <v>1.7235076533865308E-2</v>
      </c>
      <c r="F23" s="744">
        <v>4.1743830080940743E-2</v>
      </c>
      <c r="G23" s="744">
        <v>5.7569309190303574E-3</v>
      </c>
      <c r="H23" s="743">
        <f t="shared" si="0"/>
        <v>9.9144918476467142E-2</v>
      </c>
      <c r="I23" s="745"/>
      <c r="J23" s="746">
        <f t="shared" si="1"/>
        <v>7.8837155247405977E-3</v>
      </c>
      <c r="K23" s="746">
        <f t="shared" si="1"/>
        <v>1.6952489138649426E-2</v>
      </c>
      <c r="L23" s="746">
        <f t="shared" si="1"/>
        <v>1.7058667277589645E-2</v>
      </c>
      <c r="M23" s="746">
        <f t="shared" si="1"/>
        <v>4.1316562003296475E-2</v>
      </c>
      <c r="N23" s="746">
        <f t="shared" si="1"/>
        <v>5.6980059760594918E-3</v>
      </c>
      <c r="O23" s="746">
        <f t="shared" si="2"/>
        <v>1.0235478556131501E-2</v>
      </c>
      <c r="P23" s="747">
        <v>103.27088121791286</v>
      </c>
      <c r="Q23" s="748">
        <v>1.0679579508838724</v>
      </c>
      <c r="S23" s="733">
        <f t="shared" si="3"/>
        <v>0</v>
      </c>
      <c r="U23" s="734"/>
    </row>
    <row r="24" spans="1:28" ht="14" hidden="1" customHeight="1" x14ac:dyDescent="0.35">
      <c r="A24" s="749">
        <v>1980</v>
      </c>
      <c r="B24" s="750">
        <v>0.12869384307141513</v>
      </c>
      <c r="C24" s="751">
        <v>1.2832093259819792E-2</v>
      </c>
      <c r="D24" s="751">
        <v>2.3212331447731601E-2</v>
      </c>
      <c r="E24" s="751">
        <v>2.6499874249388159E-2</v>
      </c>
      <c r="F24" s="751">
        <v>5.6341816843682321E-2</v>
      </c>
      <c r="G24" s="751">
        <v>9.807727270793232E-3</v>
      </c>
      <c r="H24" s="750">
        <f t="shared" si="0"/>
        <v>0.14261397817274102</v>
      </c>
      <c r="I24" s="752"/>
      <c r="J24" s="753">
        <f t="shared" si="1"/>
        <v>1.2627085559152132E-2</v>
      </c>
      <c r="K24" s="753">
        <f t="shared" si="1"/>
        <v>2.2841487299323199E-2</v>
      </c>
      <c r="L24" s="753">
        <f t="shared" si="1"/>
        <v>2.6076507758991761E-2</v>
      </c>
      <c r="M24" s="753">
        <f t="shared" si="1"/>
        <v>5.5441690411564729E-2</v>
      </c>
      <c r="N24" s="753">
        <f t="shared" si="1"/>
        <v>9.6510373546704539E-3</v>
      </c>
      <c r="O24" s="753">
        <f t="shared" si="2"/>
        <v>1.5976169789038749E-2</v>
      </c>
      <c r="P24" s="754">
        <v>71.178701530015758</v>
      </c>
      <c r="Q24" s="755">
        <v>1.1556254900483982</v>
      </c>
      <c r="S24" s="733">
        <f t="shared" si="3"/>
        <v>1.9081958235744878E-17</v>
      </c>
      <c r="U24" s="734"/>
      <c r="W24" s="756"/>
    </row>
    <row r="25" spans="1:28" ht="14" hidden="1" customHeight="1" x14ac:dyDescent="0.35">
      <c r="A25" s="735">
        <v>1981</v>
      </c>
      <c r="B25" s="736">
        <v>0.12598685967527637</v>
      </c>
      <c r="C25" s="737">
        <v>1.4050324119263172E-2</v>
      </c>
      <c r="D25" s="737">
        <v>2.1697768347914512E-2</v>
      </c>
      <c r="E25" s="737">
        <v>2.7974266188269023E-2</v>
      </c>
      <c r="F25" s="737">
        <v>5.1037502756982385E-2</v>
      </c>
      <c r="G25" s="737">
        <v>1.1226998262847265E-2</v>
      </c>
      <c r="H25" s="736">
        <f t="shared" si="0"/>
        <v>0.14098173703656844</v>
      </c>
      <c r="I25" s="738"/>
      <c r="J25" s="739">
        <f t="shared" si="1"/>
        <v>1.380927180856624E-2</v>
      </c>
      <c r="K25" s="739">
        <f t="shared" si="1"/>
        <v>2.1325513789739535E-2</v>
      </c>
      <c r="L25" s="739">
        <f t="shared" si="1"/>
        <v>2.7494329821855366E-2</v>
      </c>
      <c r="M25" s="739">
        <f t="shared" si="1"/>
        <v>5.0161885378526005E-2</v>
      </c>
      <c r="N25" s="739">
        <f t="shared" si="1"/>
        <v>1.1034383925236403E-2</v>
      </c>
      <c r="O25" s="739">
        <f t="shared" si="2"/>
        <v>1.7156352312644906E-2</v>
      </c>
      <c r="P25" s="740">
        <v>63.904518863416868</v>
      </c>
      <c r="Q25" s="741">
        <v>1.1155064618575015</v>
      </c>
      <c r="S25" s="733">
        <f t="shared" si="3"/>
        <v>1.5612511283791264E-17</v>
      </c>
      <c r="U25" s="734"/>
      <c r="W25" s="756"/>
    </row>
    <row r="26" spans="1:28" ht="14" customHeight="1" x14ac:dyDescent="0.35">
      <c r="A26" s="735"/>
      <c r="B26" s="736"/>
      <c r="C26" s="737"/>
      <c r="D26" s="737"/>
      <c r="E26" s="737"/>
      <c r="F26" s="737"/>
      <c r="G26" s="737"/>
      <c r="H26" s="736"/>
      <c r="I26" s="738"/>
      <c r="J26" s="739"/>
      <c r="K26" s="739"/>
      <c r="L26" s="739"/>
      <c r="M26" s="739"/>
      <c r="N26" s="739"/>
      <c r="O26" s="739"/>
      <c r="P26" s="740"/>
      <c r="Q26" s="741"/>
      <c r="S26" s="733"/>
      <c r="U26" s="734"/>
      <c r="W26" s="756"/>
    </row>
    <row r="27" spans="1:28" ht="14" customHeight="1" x14ac:dyDescent="0.35">
      <c r="A27" s="735">
        <v>1965</v>
      </c>
      <c r="B27" s="736"/>
      <c r="C27" s="737"/>
      <c r="D27" s="737"/>
      <c r="E27" s="737"/>
      <c r="F27" s="737"/>
      <c r="G27" s="737"/>
      <c r="H27" s="736"/>
      <c r="I27" s="738"/>
      <c r="J27" s="739"/>
      <c r="K27" s="739"/>
      <c r="L27" s="739"/>
      <c r="M27" s="739"/>
      <c r="N27" s="739"/>
      <c r="O27" s="739"/>
      <c r="P27" s="740"/>
      <c r="Q27" s="741"/>
      <c r="S27" s="733"/>
      <c r="U27" s="734"/>
      <c r="W27" s="756"/>
      <c r="X27" s="696">
        <v>6.3829787234042562E-2</v>
      </c>
    </row>
    <row r="28" spans="1:28" ht="14" customHeight="1" x14ac:dyDescent="0.35">
      <c r="A28" s="735">
        <v>1966</v>
      </c>
      <c r="B28" s="736"/>
      <c r="C28" s="737"/>
      <c r="D28" s="737"/>
      <c r="E28" s="737"/>
      <c r="F28" s="737"/>
      <c r="G28" s="737"/>
      <c r="H28" s="736"/>
      <c r="I28" s="756">
        <v>3.3040656503871023E-2</v>
      </c>
      <c r="J28" s="739"/>
      <c r="K28" s="739"/>
      <c r="L28" s="739"/>
      <c r="M28" s="739"/>
      <c r="N28" s="739"/>
      <c r="O28" s="739"/>
      <c r="P28" s="740"/>
      <c r="Q28" s="741"/>
      <c r="S28" s="733"/>
      <c r="U28" s="734">
        <f t="shared" ref="U28:U36" si="4">+$U$77*(I28/$I$77)</f>
        <v>2.7813465908906095E-2</v>
      </c>
      <c r="V28" s="696">
        <f t="shared" ref="V28:V36" si="5">+$V$37*X28/$X$37</f>
        <v>1.7869203628816867E-2</v>
      </c>
      <c r="W28" s="756">
        <f t="shared" ref="W28:W76" si="6">+$W$77*(U28*V28)/($U$77*$V$77)</f>
        <v>8.3554824333614613E-4</v>
      </c>
      <c r="X28" s="696">
        <v>5.8272632674297609E-2</v>
      </c>
      <c r="Z28" s="696">
        <v>0.55510468582688532</v>
      </c>
      <c r="AA28" s="696">
        <v>0.66921672914951047</v>
      </c>
    </row>
    <row r="29" spans="1:28" ht="14" customHeight="1" x14ac:dyDescent="0.35">
      <c r="A29" s="735">
        <v>1967</v>
      </c>
      <c r="B29" s="736"/>
      <c r="C29" s="737"/>
      <c r="D29" s="737"/>
      <c r="E29" s="737"/>
      <c r="F29" s="737"/>
      <c r="G29" s="737"/>
      <c r="H29" s="736"/>
      <c r="I29" s="756">
        <v>3.619953501609862E-2</v>
      </c>
      <c r="J29" s="739"/>
      <c r="K29" s="739"/>
      <c r="L29" s="739"/>
      <c r="M29" s="739"/>
      <c r="N29" s="739"/>
      <c r="O29" s="739"/>
      <c r="P29" s="740"/>
      <c r="Q29" s="741"/>
      <c r="S29" s="733"/>
      <c r="U29" s="734">
        <f t="shared" si="4"/>
        <v>3.0472594664411448E-2</v>
      </c>
      <c r="V29" s="696">
        <f t="shared" si="5"/>
        <v>1.926757143903635E-2</v>
      </c>
      <c r="W29" s="756">
        <f t="shared" si="6"/>
        <v>9.870692772023851E-4</v>
      </c>
      <c r="X29" s="696">
        <v>6.2832800851970183E-2</v>
      </c>
    </row>
    <row r="30" spans="1:28" ht="14" customHeight="1" x14ac:dyDescent="0.35">
      <c r="A30" s="735">
        <v>1968</v>
      </c>
      <c r="B30" s="736"/>
      <c r="C30" s="737"/>
      <c r="D30" s="737"/>
      <c r="E30" s="737"/>
      <c r="F30" s="737"/>
      <c r="G30" s="737"/>
      <c r="H30" s="736"/>
      <c r="I30" s="756">
        <v>3.5579051424552213E-2</v>
      </c>
      <c r="J30" s="739"/>
      <c r="K30" s="739"/>
      <c r="L30" s="739"/>
      <c r="M30" s="739"/>
      <c r="N30" s="739"/>
      <c r="O30" s="739"/>
      <c r="P30" s="740"/>
      <c r="Q30" s="741"/>
      <c r="S30" s="733"/>
      <c r="U30" s="734">
        <f t="shared" si="4"/>
        <v>2.9950274558014963E-2</v>
      </c>
      <c r="V30" s="696">
        <f t="shared" si="5"/>
        <v>2.1106569183005172E-2</v>
      </c>
      <c r="W30" s="756">
        <f t="shared" si="6"/>
        <v>1.0627464805386957E-3</v>
      </c>
      <c r="X30" s="696">
        <v>6.88298918387414E-2</v>
      </c>
    </row>
    <row r="31" spans="1:28" ht="14" customHeight="1" x14ac:dyDescent="0.35">
      <c r="A31" s="735">
        <v>1969</v>
      </c>
      <c r="B31" s="736"/>
      <c r="C31" s="737"/>
      <c r="D31" s="737"/>
      <c r="E31" s="737"/>
      <c r="F31" s="737"/>
      <c r="G31" s="737"/>
      <c r="H31" s="736"/>
      <c r="I31" s="756">
        <v>3.7168831829668146E-2</v>
      </c>
      <c r="J31" s="739"/>
      <c r="K31" s="739"/>
      <c r="L31" s="739"/>
      <c r="M31" s="739"/>
      <c r="N31" s="739"/>
      <c r="O31" s="739"/>
      <c r="P31" s="740"/>
      <c r="Q31" s="741"/>
      <c r="S31" s="733"/>
      <c r="U31" s="734">
        <f t="shared" si="4"/>
        <v>3.1288544065316018E-2</v>
      </c>
      <c r="V31" s="696">
        <f t="shared" si="5"/>
        <v>2.4930755933932937E-2</v>
      </c>
      <c r="W31" s="756">
        <f t="shared" si="6"/>
        <v>1.3113904712513985E-3</v>
      </c>
      <c r="X31" s="696">
        <v>8.1300813008130079E-2</v>
      </c>
    </row>
    <row r="32" spans="1:28" ht="14" customHeight="1" x14ac:dyDescent="0.35">
      <c r="A32" s="735">
        <v>1970</v>
      </c>
      <c r="B32" s="736"/>
      <c r="C32" s="737"/>
      <c r="D32" s="737"/>
      <c r="E32" s="737"/>
      <c r="F32" s="737"/>
      <c r="G32" s="737"/>
      <c r="H32" s="736"/>
      <c r="I32" s="756">
        <v>4.7872629542884619E-2</v>
      </c>
      <c r="J32" s="739"/>
      <c r="K32" s="739"/>
      <c r="L32" s="739"/>
      <c r="M32" s="739"/>
      <c r="N32" s="739"/>
      <c r="O32" s="739"/>
      <c r="P32" s="740"/>
      <c r="Q32" s="741"/>
      <c r="S32" s="733"/>
      <c r="U32" s="734">
        <f t="shared" si="4"/>
        <v>4.0298949556426461E-2</v>
      </c>
      <c r="V32" s="696">
        <f t="shared" si="5"/>
        <v>3.0593681701756685E-2</v>
      </c>
      <c r="W32" s="756">
        <f t="shared" si="6"/>
        <v>2.0727011654551276E-3</v>
      </c>
      <c r="X32" s="696">
        <v>9.9767981438515077E-2</v>
      </c>
      <c r="Z32" s="696">
        <v>0.80433727715458025</v>
      </c>
      <c r="AA32" s="696">
        <v>0.65898922376359736</v>
      </c>
      <c r="AB32" s="756">
        <f>1-AA32/Z32</f>
        <v>0.18070535522755515</v>
      </c>
    </row>
    <row r="33" spans="1:28" ht="14" customHeight="1" x14ac:dyDescent="0.35">
      <c r="A33" s="735">
        <v>1971</v>
      </c>
      <c r="B33" s="736"/>
      <c r="C33" s="737"/>
      <c r="D33" s="737"/>
      <c r="E33" s="737"/>
      <c r="F33" s="737"/>
      <c r="G33" s="737"/>
      <c r="H33" s="736"/>
      <c r="I33" s="756">
        <v>4.8041310617690333E-2</v>
      </c>
      <c r="J33" s="739"/>
      <c r="K33" s="739"/>
      <c r="L33" s="739"/>
      <c r="M33" s="739"/>
      <c r="N33" s="739"/>
      <c r="O33" s="739"/>
      <c r="P33" s="740"/>
      <c r="Q33" s="741"/>
      <c r="S33" s="733"/>
      <c r="U33" s="734">
        <f t="shared" si="4"/>
        <v>4.0440944474809414E-2</v>
      </c>
      <c r="V33" s="696">
        <f t="shared" si="5"/>
        <v>2.9872299406324816E-2</v>
      </c>
      <c r="W33" s="756">
        <f t="shared" si="6"/>
        <v>2.0309590414824981E-3</v>
      </c>
      <c r="X33" s="696">
        <v>9.7415506958250506E-2</v>
      </c>
      <c r="AB33" s="756">
        <f t="shared" ref="AB33:AB38" si="7">+AB32-($AB$32-$AB$39)/COUNT($V$33:$V$39)</f>
        <v>0.14586866729533815</v>
      </c>
    </row>
    <row r="34" spans="1:28" ht="14" customHeight="1" x14ac:dyDescent="0.35">
      <c r="A34" s="735">
        <v>1972</v>
      </c>
      <c r="B34" s="736"/>
      <c r="C34" s="737"/>
      <c r="D34" s="737"/>
      <c r="E34" s="737"/>
      <c r="F34" s="737"/>
      <c r="G34" s="737"/>
      <c r="H34" s="736"/>
      <c r="I34" s="756">
        <v>4.5857490571448237E-2</v>
      </c>
      <c r="J34" s="739"/>
      <c r="K34" s="739"/>
      <c r="L34" s="739"/>
      <c r="M34" s="739"/>
      <c r="N34" s="739"/>
      <c r="O34" s="739"/>
      <c r="P34" s="740"/>
      <c r="Q34" s="741"/>
      <c r="S34" s="733"/>
      <c r="U34" s="734">
        <f t="shared" si="4"/>
        <v>3.8602615251531906E-2</v>
      </c>
      <c r="V34" s="696">
        <f t="shared" si="5"/>
        <v>3.061250073764751E-2</v>
      </c>
      <c r="W34" s="756">
        <f t="shared" si="6"/>
        <v>1.9866746886864199E-3</v>
      </c>
      <c r="X34" s="696">
        <v>9.9829351535836164E-2</v>
      </c>
      <c r="AB34" s="756">
        <f t="shared" si="7"/>
        <v>0.11103197936312115</v>
      </c>
    </row>
    <row r="35" spans="1:28" ht="14" customHeight="1" x14ac:dyDescent="0.35">
      <c r="A35" s="735">
        <v>1973</v>
      </c>
      <c r="B35" s="736"/>
      <c r="C35" s="737"/>
      <c r="D35" s="737"/>
      <c r="E35" s="737"/>
      <c r="F35" s="737"/>
      <c r="G35" s="737"/>
      <c r="H35" s="736"/>
      <c r="I35" s="756">
        <v>5.8957352454350805E-2</v>
      </c>
      <c r="J35" s="739"/>
      <c r="K35" s="739"/>
      <c r="L35" s="739"/>
      <c r="M35" s="739"/>
      <c r="N35" s="739"/>
      <c r="O35" s="739"/>
      <c r="P35" s="740"/>
      <c r="Q35" s="741"/>
      <c r="S35" s="733"/>
      <c r="U35" s="734">
        <f t="shared" si="4"/>
        <v>4.9630016049358114E-2</v>
      </c>
      <c r="V35" s="696">
        <f t="shared" si="5"/>
        <v>4.0457346661003021E-2</v>
      </c>
      <c r="W35" s="756">
        <f t="shared" si="6"/>
        <v>3.3756159804791061E-3</v>
      </c>
      <c r="X35" s="696">
        <v>0.13193403298350825</v>
      </c>
      <c r="AB35" s="756">
        <f t="shared" si="7"/>
        <v>7.6195291430904144E-2</v>
      </c>
    </row>
    <row r="36" spans="1:28" ht="14" customHeight="1" x14ac:dyDescent="0.35">
      <c r="A36" s="735">
        <v>1974</v>
      </c>
      <c r="B36" s="736"/>
      <c r="C36" s="737"/>
      <c r="D36" s="737"/>
      <c r="E36" s="737"/>
      <c r="F36" s="737"/>
      <c r="G36" s="737"/>
      <c r="H36" s="736"/>
      <c r="I36" s="756">
        <v>5.1899076728985312E-2</v>
      </c>
      <c r="J36" s="739"/>
      <c r="K36" s="739"/>
      <c r="L36" s="739"/>
      <c r="M36" s="739"/>
      <c r="N36" s="739"/>
      <c r="O36" s="739"/>
      <c r="P36" s="740"/>
      <c r="Q36" s="741"/>
      <c r="S36" s="733"/>
      <c r="U36" s="734">
        <f t="shared" si="4"/>
        <v>4.368839345356882E-2</v>
      </c>
      <c r="V36" s="696">
        <f t="shared" si="5"/>
        <v>4.9766310890552522E-2</v>
      </c>
      <c r="W36" s="756">
        <f t="shared" si="6"/>
        <v>3.6552134644917099E-3</v>
      </c>
      <c r="X36" s="696">
        <v>0.16229116945107397</v>
      </c>
      <c r="AB36" s="756">
        <f t="shared" si="7"/>
        <v>4.1358603498687134E-2</v>
      </c>
    </row>
    <row r="37" spans="1:28" ht="14" customHeight="1" x14ac:dyDescent="0.35">
      <c r="A37" s="735">
        <v>1975</v>
      </c>
      <c r="B37" s="736"/>
      <c r="C37" s="737"/>
      <c r="D37" s="737"/>
      <c r="E37" s="737"/>
      <c r="F37" s="737"/>
      <c r="G37" s="737"/>
      <c r="H37" s="736"/>
      <c r="I37" s="756">
        <v>5.1837146481650331E-2</v>
      </c>
      <c r="J37" s="739"/>
      <c r="K37" s="739"/>
      <c r="L37" s="739"/>
      <c r="M37" s="739"/>
      <c r="N37" s="739"/>
      <c r="O37" s="739"/>
      <c r="P37" s="740"/>
      <c r="Q37" s="741"/>
      <c r="S37" s="733"/>
      <c r="U37" s="734">
        <f t="shared" ref="U37:U75" si="8">+$U$77*((I37*AB37)/($I$77*$AB$77))</f>
        <v>3.2815558404711254E-4</v>
      </c>
      <c r="V37" s="696">
        <v>3.9517671230914431E-2</v>
      </c>
      <c r="W37" s="756">
        <f t="shared" si="6"/>
        <v>2.1801298657741198E-5</v>
      </c>
      <c r="X37" s="696">
        <v>0.12886969042476601</v>
      </c>
      <c r="AB37" s="756">
        <f t="shared" si="7"/>
        <v>6.5219155664701239E-3</v>
      </c>
    </row>
    <row r="38" spans="1:28" ht="14" customHeight="1" x14ac:dyDescent="0.35">
      <c r="A38" s="735">
        <v>1976</v>
      </c>
      <c r="B38" s="736"/>
      <c r="C38" s="737"/>
      <c r="D38" s="737"/>
      <c r="E38" s="737"/>
      <c r="F38" s="737"/>
      <c r="G38" s="737"/>
      <c r="H38" s="736"/>
      <c r="I38" s="756">
        <v>4.4775937912194405E-2</v>
      </c>
      <c r="J38" s="739"/>
      <c r="K38" s="739"/>
      <c r="L38" s="739"/>
      <c r="M38" s="739"/>
      <c r="N38" s="739"/>
      <c r="O38" s="739"/>
      <c r="P38" s="740"/>
      <c r="Q38" s="741"/>
      <c r="S38" s="733"/>
      <c r="U38" s="734">
        <f t="shared" si="8"/>
        <v>-1.2306124552415318E-3</v>
      </c>
      <c r="V38" s="696">
        <v>4.2340463869978785E-2</v>
      </c>
      <c r="W38" s="756">
        <f t="shared" si="6"/>
        <v>-8.7596779551892201E-5</v>
      </c>
      <c r="AB38" s="756">
        <f t="shared" si="7"/>
        <v>-2.8314772365746886E-2</v>
      </c>
    </row>
    <row r="39" spans="1:28" ht="14" customHeight="1" x14ac:dyDescent="0.35">
      <c r="A39" s="735">
        <v>1977</v>
      </c>
      <c r="B39" s="736"/>
      <c r="C39" s="737"/>
      <c r="D39" s="737"/>
      <c r="E39" s="737"/>
      <c r="F39" s="737"/>
      <c r="G39" s="737"/>
      <c r="H39" s="736"/>
      <c r="I39" s="756">
        <v>5.6318961250691434E-2</v>
      </c>
      <c r="J39" s="739"/>
      <c r="K39" s="739"/>
      <c r="L39" s="739"/>
      <c r="M39" s="739"/>
      <c r="N39" s="739"/>
      <c r="O39" s="739"/>
      <c r="P39" s="740"/>
      <c r="Q39" s="741"/>
      <c r="S39" s="733"/>
      <c r="U39" s="734">
        <f t="shared" si="8"/>
        <v>-3.4522447174006746E-3</v>
      </c>
      <c r="V39" s="696">
        <v>3.8154969011600294E-2</v>
      </c>
      <c r="W39" s="756">
        <f t="shared" si="6"/>
        <v>-2.214439913733646E-4</v>
      </c>
      <c r="Z39" s="696">
        <v>1.0892454954954955</v>
      </c>
      <c r="AA39" s="696">
        <v>1.1580329391590154</v>
      </c>
      <c r="AB39" s="756">
        <f>1-AA39/Z39</f>
        <v>-6.3151460297963924E-2</v>
      </c>
    </row>
    <row r="40" spans="1:28" ht="14" customHeight="1" x14ac:dyDescent="0.35">
      <c r="A40" s="735">
        <v>1978</v>
      </c>
      <c r="B40" s="736"/>
      <c r="C40" s="737"/>
      <c r="D40" s="737"/>
      <c r="E40" s="737"/>
      <c r="F40" s="737"/>
      <c r="G40" s="737"/>
      <c r="H40" s="736"/>
      <c r="I40" s="756">
        <v>7.704350223904588E-2</v>
      </c>
      <c r="J40" s="739"/>
      <c r="K40" s="739"/>
      <c r="L40" s="739"/>
      <c r="M40" s="739"/>
      <c r="N40" s="739"/>
      <c r="O40" s="739"/>
      <c r="P40" s="740"/>
      <c r="Q40" s="741"/>
      <c r="S40" s="733"/>
      <c r="U40" s="734">
        <f t="shared" si="8"/>
        <v>1.7043642620715059E-3</v>
      </c>
      <c r="V40" s="696">
        <v>4.0643851190286316E-2</v>
      </c>
      <c r="W40" s="756">
        <f t="shared" si="6"/>
        <v>1.1645777638372181E-4</v>
      </c>
      <c r="AB40" s="756">
        <f>+AB39-($AB$39-$AB$45)/COUNT($V$40:$V$45)</f>
        <v>2.2790972772033735E-2</v>
      </c>
    </row>
    <row r="41" spans="1:28" ht="14" customHeight="1" x14ac:dyDescent="0.35">
      <c r="A41" s="735">
        <v>1979</v>
      </c>
      <c r="B41" s="736"/>
      <c r="C41" s="737"/>
      <c r="D41" s="737"/>
      <c r="E41" s="737"/>
      <c r="F41" s="737"/>
      <c r="G41" s="737"/>
      <c r="H41" s="736"/>
      <c r="I41" s="756">
        <v>8.9828881510760308E-2</v>
      </c>
      <c r="J41" s="739"/>
      <c r="K41" s="739"/>
      <c r="L41" s="739"/>
      <c r="M41" s="739"/>
      <c r="N41" s="739"/>
      <c r="O41" s="739"/>
      <c r="P41" s="740"/>
      <c r="Q41" s="741"/>
      <c r="S41" s="733"/>
      <c r="U41" s="734">
        <f t="shared" si="8"/>
        <v>9.4807462712462442E-3</v>
      </c>
      <c r="V41" s="696">
        <v>5.8991265673917902E-2</v>
      </c>
      <c r="W41" s="756">
        <f t="shared" si="6"/>
        <v>9.402459250286917E-4</v>
      </c>
      <c r="AB41" s="756">
        <f>+AB40-($AB$39-$AB$45)/COUNT($V$40:$V$45)</f>
        <v>0.10873340584203139</v>
      </c>
    </row>
    <row r="42" spans="1:28" ht="14" customHeight="1" x14ac:dyDescent="0.35">
      <c r="A42" s="735">
        <v>1980</v>
      </c>
      <c r="B42" s="736"/>
      <c r="C42" s="737"/>
      <c r="D42" s="737"/>
      <c r="E42" s="737"/>
      <c r="F42" s="737"/>
      <c r="G42" s="737"/>
      <c r="H42" s="736"/>
      <c r="I42" s="756">
        <v>0.12869384307141513</v>
      </c>
      <c r="J42" s="739"/>
      <c r="K42" s="739"/>
      <c r="L42" s="739"/>
      <c r="M42" s="739"/>
      <c r="N42" s="739"/>
      <c r="O42" s="739"/>
      <c r="P42" s="740"/>
      <c r="Q42" s="741"/>
      <c r="S42" s="733"/>
      <c r="U42" s="734">
        <f t="shared" si="8"/>
        <v>2.4318308581808661E-2</v>
      </c>
      <c r="V42" s="696">
        <v>5.1606651452144603E-2</v>
      </c>
      <c r="W42" s="756">
        <f t="shared" si="6"/>
        <v>2.1098436214302021E-3</v>
      </c>
      <c r="AB42" s="756">
        <f>+AB41-($AB$39-$AB$45)/COUNT($V$40:$V$45)</f>
        <v>0.19467583891202905</v>
      </c>
    </row>
    <row r="43" spans="1:28" ht="14" customHeight="1" x14ac:dyDescent="0.35">
      <c r="A43" s="735">
        <v>1981</v>
      </c>
      <c r="B43" s="736"/>
      <c r="C43" s="737"/>
      <c r="D43" s="737"/>
      <c r="E43" s="737"/>
      <c r="F43" s="737"/>
      <c r="G43" s="737"/>
      <c r="H43" s="736"/>
      <c r="I43" s="756">
        <v>0.12598685967527637</v>
      </c>
      <c r="J43" s="739"/>
      <c r="K43" s="739"/>
      <c r="L43" s="739"/>
      <c r="M43" s="739"/>
      <c r="N43" s="739"/>
      <c r="O43" s="739"/>
      <c r="P43" s="740"/>
      <c r="Q43" s="741"/>
      <c r="S43" s="733"/>
      <c r="U43" s="734">
        <f t="shared" si="8"/>
        <v>3.4316638283899338E-2</v>
      </c>
      <c r="V43" s="696">
        <v>4.2229755996350538E-2</v>
      </c>
      <c r="W43" s="756">
        <f t="shared" si="6"/>
        <v>2.4363211248992272E-3</v>
      </c>
      <c r="AB43" s="756">
        <f>+AB42-($AB$39-$AB$45)/COUNT($V$40:$V$45)</f>
        <v>0.28061827198202671</v>
      </c>
    </row>
    <row r="44" spans="1:28" ht="14" customHeight="1" x14ac:dyDescent="0.35">
      <c r="A44" s="735">
        <v>1982</v>
      </c>
      <c r="B44" s="736">
        <v>0.14980867942137191</v>
      </c>
      <c r="C44" s="737">
        <v>1.4092393840410639E-2</v>
      </c>
      <c r="D44" s="737">
        <v>1.8777414839010732E-2</v>
      </c>
      <c r="E44" s="737">
        <v>2.7251516565562295E-2</v>
      </c>
      <c r="F44" s="737">
        <v>7.8002799813345777E-2</v>
      </c>
      <c r="G44" s="737">
        <v>1.1684554363042464E-2</v>
      </c>
      <c r="H44" s="736">
        <f t="shared" ref="H44:H81" si="9">J44+K44+L44+M44+N44+O44</f>
        <v>0.16880182354109144</v>
      </c>
      <c r="I44" s="756">
        <v>0.14980867942137191</v>
      </c>
      <c r="J44" s="739">
        <f t="shared" ref="J44:N81" si="10">C44*$P44/($P44+$Q44)</f>
        <v>1.3777571916539902E-2</v>
      </c>
      <c r="K44" s="739">
        <f t="shared" si="10"/>
        <v>1.8357930262303496E-2</v>
      </c>
      <c r="L44" s="739">
        <f t="shared" si="10"/>
        <v>2.6642721851851993E-2</v>
      </c>
      <c r="M44" s="739">
        <f t="shared" si="10"/>
        <v>7.6260229191020198E-2</v>
      </c>
      <c r="N44" s="739">
        <f t="shared" si="10"/>
        <v>1.1423523204972157E-2</v>
      </c>
      <c r="O44" s="739">
        <f t="shared" ref="O44:O81" si="11">Q44/(Q44+P44)</f>
        <v>2.2339847114403687E-2</v>
      </c>
      <c r="P44" s="740">
        <v>53.575000000000003</v>
      </c>
      <c r="Q44" s="741">
        <v>1.2242058813807779</v>
      </c>
      <c r="S44" s="733">
        <f t="shared" ref="S44:S81" si="12">B44-C44-D44-E44-F44-G44</f>
        <v>0</v>
      </c>
      <c r="U44" s="734">
        <f t="shared" si="8"/>
        <v>5.330235814211657E-2</v>
      </c>
      <c r="V44" s="756">
        <v>3.4810544743711716E-2</v>
      </c>
      <c r="W44" s="756">
        <f t="shared" si="6"/>
        <v>3.1193813001350462E-3</v>
      </c>
      <c r="AB44" s="756">
        <f>+AB43-($AB$39-$AB$45)/COUNT($V$40:$V$45)</f>
        <v>0.36656070505202437</v>
      </c>
    </row>
    <row r="45" spans="1:28" ht="14" customHeight="1" x14ac:dyDescent="0.35">
      <c r="A45" s="735">
        <v>1983</v>
      </c>
      <c r="B45" s="736">
        <v>0.1400041355067719</v>
      </c>
      <c r="C45" s="737">
        <v>1.6455870696488264E-2</v>
      </c>
      <c r="D45" s="737">
        <v>2.6846331460867769E-2</v>
      </c>
      <c r="E45" s="737">
        <v>2.1384016266326637E-2</v>
      </c>
      <c r="F45" s="737">
        <v>6.2739083985250022E-2</v>
      </c>
      <c r="G45" s="737">
        <v>1.2578833097839198E-2</v>
      </c>
      <c r="H45" s="736">
        <f t="shared" si="9"/>
        <v>0.15880202736432308</v>
      </c>
      <c r="I45" s="756">
        <v>0.1400041355067719</v>
      </c>
      <c r="J45" s="739">
        <f t="shared" si="10"/>
        <v>1.6096176318240625E-2</v>
      </c>
      <c r="K45" s="739">
        <f t="shared" si="10"/>
        <v>2.6259521155831307E-2</v>
      </c>
      <c r="L45" s="739">
        <f t="shared" si="10"/>
        <v>2.0916601896268712E-2</v>
      </c>
      <c r="M45" s="739">
        <f t="shared" si="10"/>
        <v>6.1367725627972894E-2</v>
      </c>
      <c r="N45" s="739">
        <f t="shared" si="10"/>
        <v>1.2303883468393359E-2</v>
      </c>
      <c r="O45" s="739">
        <f t="shared" si="11"/>
        <v>2.1858118897616175E-2</v>
      </c>
      <c r="P45" s="740">
        <v>58.033999999999999</v>
      </c>
      <c r="Q45" s="741">
        <v>1.2968610143495936</v>
      </c>
      <c r="S45" s="733">
        <f t="shared" si="12"/>
        <v>2.2551405187698492E-17</v>
      </c>
      <c r="U45" s="734">
        <f t="shared" si="8"/>
        <v>6.1493045130559199E-2</v>
      </c>
      <c r="V45" s="756">
        <v>3.5934372019683518E-2</v>
      </c>
      <c r="W45" s="756">
        <f t="shared" si="6"/>
        <v>3.7149013138471996E-3</v>
      </c>
      <c r="Z45" s="696">
        <v>1.209322</v>
      </c>
      <c r="AA45" s="696">
        <v>0.66210000000000002</v>
      </c>
      <c r="AB45" s="756">
        <f>1-AA45/Z45</f>
        <v>0.45250313812202203</v>
      </c>
    </row>
    <row r="46" spans="1:28" ht="14" customHeight="1" x14ac:dyDescent="0.35">
      <c r="A46" s="735">
        <v>1984</v>
      </c>
      <c r="B46" s="736">
        <v>0.13324542351846105</v>
      </c>
      <c r="C46" s="737">
        <v>1.7157927396835245E-2</v>
      </c>
      <c r="D46" s="737">
        <v>2.451132485262178E-2</v>
      </c>
      <c r="E46" s="737">
        <v>2.3270245113248527E-2</v>
      </c>
      <c r="F46" s="737">
        <v>5.6934533043748063E-2</v>
      </c>
      <c r="G46" s="737">
        <v>1.1371393112007447E-2</v>
      </c>
      <c r="H46" s="736">
        <f t="shared" si="9"/>
        <v>0.15138455891983879</v>
      </c>
      <c r="I46" s="756">
        <v>0.13324542351846105</v>
      </c>
      <c r="J46" s="739">
        <f t="shared" si="10"/>
        <v>1.6798852317564717E-2</v>
      </c>
      <c r="K46" s="739">
        <f t="shared" si="10"/>
        <v>2.3998360453663881E-2</v>
      </c>
      <c r="L46" s="739">
        <f t="shared" si="10"/>
        <v>2.2783253595250522E-2</v>
      </c>
      <c r="M46" s="739">
        <f t="shared" si="10"/>
        <v>5.5743027129712949E-2</v>
      </c>
      <c r="N46" s="739">
        <f t="shared" si="10"/>
        <v>1.1133416590212421E-2</v>
      </c>
      <c r="O46" s="739">
        <f t="shared" si="11"/>
        <v>2.0927648833434325E-2</v>
      </c>
      <c r="P46" s="740">
        <v>64.460000000000008</v>
      </c>
      <c r="Q46" s="741">
        <v>1.3778310072752502</v>
      </c>
      <c r="S46" s="733">
        <f t="shared" si="12"/>
        <v>-1.5612511283791264E-17</v>
      </c>
      <c r="U46" s="734">
        <f t="shared" si="8"/>
        <v>5.5087995258237259E-2</v>
      </c>
      <c r="V46" s="756">
        <v>3.9915905352398924E-2</v>
      </c>
      <c r="W46" s="756">
        <f t="shared" si="6"/>
        <v>3.6966997143690096E-3</v>
      </c>
      <c r="Z46" s="696">
        <v>1.320403</v>
      </c>
      <c r="AA46" s="696">
        <v>0.75800000000000001</v>
      </c>
      <c r="AB46" s="756">
        <f t="shared" ref="AB46:AB80" si="13">1-AA46/Z46</f>
        <v>0.42593284020105981</v>
      </c>
    </row>
    <row r="47" spans="1:28" ht="14" customHeight="1" x14ac:dyDescent="0.35">
      <c r="A47" s="735">
        <v>1985</v>
      </c>
      <c r="B47" s="736">
        <v>0.14040937445158819</v>
      </c>
      <c r="C47" s="737">
        <v>1.7740623155342129E-2</v>
      </c>
      <c r="D47" s="737">
        <v>2.9354987954882658E-2</v>
      </c>
      <c r="E47" s="737">
        <v>2.7616023994511893E-2</v>
      </c>
      <c r="F47" s="737">
        <v>5.7545348670250955E-2</v>
      </c>
      <c r="G47" s="737">
        <v>8.1523906766005644E-3</v>
      </c>
      <c r="H47" s="736">
        <f t="shared" si="9"/>
        <v>0.15952010163897429</v>
      </c>
      <c r="I47" s="756">
        <v>0.14040937445158819</v>
      </c>
      <c r="J47" s="739">
        <f t="shared" si="10"/>
        <v>1.7346207256448788E-2</v>
      </c>
      <c r="K47" s="739">
        <f t="shared" si="10"/>
        <v>2.870235733081454E-2</v>
      </c>
      <c r="L47" s="739">
        <f t="shared" si="10"/>
        <v>2.7002054641108678E-2</v>
      </c>
      <c r="M47" s="739">
        <f t="shared" si="10"/>
        <v>5.62659798327435E-2</v>
      </c>
      <c r="N47" s="739">
        <f t="shared" si="10"/>
        <v>7.9711438021990381E-3</v>
      </c>
      <c r="O47" s="739">
        <f t="shared" si="11"/>
        <v>2.2232358775659745E-2</v>
      </c>
      <c r="P47" s="740">
        <v>62.680999999999997</v>
      </c>
      <c r="Q47" s="741">
        <v>1.4252327666235287</v>
      </c>
      <c r="S47" s="733">
        <f t="shared" si="12"/>
        <v>0</v>
      </c>
      <c r="U47" s="734">
        <f t="shared" si="8"/>
        <v>6.0996324767759867E-2</v>
      </c>
      <c r="V47" s="756">
        <v>3.5856246989057969E-2</v>
      </c>
      <c r="W47" s="756">
        <f t="shared" si="6"/>
        <v>3.6768822381489444E-3</v>
      </c>
      <c r="Z47" s="696">
        <v>1.3268230000000001</v>
      </c>
      <c r="AA47" s="696">
        <v>0.73299999999999998</v>
      </c>
      <c r="AB47" s="756">
        <f t="shared" si="13"/>
        <v>0.44755253715077303</v>
      </c>
    </row>
    <row r="48" spans="1:28" ht="14" customHeight="1" x14ac:dyDescent="0.35">
      <c r="A48" s="735">
        <v>1986</v>
      </c>
      <c r="B48" s="736">
        <v>0.14691270404542228</v>
      </c>
      <c r="C48" s="737">
        <v>1.5330021291696239E-2</v>
      </c>
      <c r="D48" s="737">
        <v>4.3417317246273956E-2</v>
      </c>
      <c r="E48" s="737">
        <v>2.8548616039744498E-2</v>
      </c>
      <c r="F48" s="737">
        <v>4.6611071682044002E-2</v>
      </c>
      <c r="G48" s="737">
        <v>1.3005677785663592E-2</v>
      </c>
      <c r="H48" s="736">
        <f t="shared" si="9"/>
        <v>0.16763137751108267</v>
      </c>
      <c r="I48" s="756">
        <v>0.14691270404542228</v>
      </c>
      <c r="J48" s="739">
        <f t="shared" si="10"/>
        <v>1.4957705695308332E-2</v>
      </c>
      <c r="K48" s="739">
        <f t="shared" si="10"/>
        <v>4.236285397733737E-2</v>
      </c>
      <c r="L48" s="739">
        <f t="shared" si="10"/>
        <v>2.7855264425637856E-2</v>
      </c>
      <c r="M48" s="739">
        <f t="shared" si="10"/>
        <v>4.5479042663859937E-2</v>
      </c>
      <c r="N48" s="739">
        <f t="shared" si="10"/>
        <v>1.2689812817894684E-2</v>
      </c>
      <c r="O48" s="739">
        <f t="shared" si="11"/>
        <v>2.4286697931044477E-2</v>
      </c>
      <c r="P48" s="740">
        <v>56.36</v>
      </c>
      <c r="Q48" s="741">
        <v>1.4028693597711464</v>
      </c>
      <c r="S48" s="733">
        <f t="shared" si="12"/>
        <v>-1.5612511283791264E-17</v>
      </c>
      <c r="U48" s="734">
        <f t="shared" si="8"/>
        <v>6.8294592122910849E-2</v>
      </c>
      <c r="V48" s="756">
        <v>3.8408050494766366E-2</v>
      </c>
      <c r="W48" s="756">
        <f t="shared" si="6"/>
        <v>4.4098092220869207E-3</v>
      </c>
      <c r="Z48" s="696">
        <v>1.1149929999999999</v>
      </c>
      <c r="AA48" s="696">
        <v>0.58099999999999996</v>
      </c>
      <c r="AB48" s="756">
        <f t="shared" si="13"/>
        <v>0.47892049546499393</v>
      </c>
    </row>
    <row r="49" spans="1:28" ht="14" customHeight="1" x14ac:dyDescent="0.35">
      <c r="A49" s="735">
        <v>1987</v>
      </c>
      <c r="B49" s="736">
        <v>0.17109846232265738</v>
      </c>
      <c r="C49" s="737">
        <v>2.8148274006739728E-2</v>
      </c>
      <c r="D49" s="737">
        <v>5.1779797808172628E-2</v>
      </c>
      <c r="E49" s="737">
        <v>3.0286296831195311E-2</v>
      </c>
      <c r="F49" s="737">
        <v>4.7362161243734602E-2</v>
      </c>
      <c r="G49" s="737">
        <v>1.3521932432815111E-2</v>
      </c>
      <c r="H49" s="736">
        <f t="shared" si="9"/>
        <v>0.194947942783848</v>
      </c>
      <c r="I49" s="756">
        <v>0.17109846232265738</v>
      </c>
      <c r="J49" s="739">
        <f t="shared" si="10"/>
        <v>2.7338380816263715E-2</v>
      </c>
      <c r="K49" s="739">
        <f t="shared" si="10"/>
        <v>5.0289969137362375E-2</v>
      </c>
      <c r="L49" s="739">
        <f t="shared" si="10"/>
        <v>2.9414887608645919E-2</v>
      </c>
      <c r="M49" s="739">
        <f t="shared" si="10"/>
        <v>4.5999438546479941E-2</v>
      </c>
      <c r="N49" s="739">
        <f t="shared" si="10"/>
        <v>1.3132874084271553E-2</v>
      </c>
      <c r="O49" s="739">
        <f t="shared" si="11"/>
        <v>2.8772392590824477E-2</v>
      </c>
      <c r="P49" s="740">
        <v>70.626000000000005</v>
      </c>
      <c r="Q49" s="741">
        <v>2.0922788681226812</v>
      </c>
      <c r="S49" s="733">
        <f t="shared" si="12"/>
        <v>0</v>
      </c>
      <c r="U49" s="734">
        <f t="shared" si="8"/>
        <v>9.807760942603963E-2</v>
      </c>
      <c r="V49" s="756">
        <v>4.2975607423649996E-2</v>
      </c>
      <c r="W49" s="756">
        <f t="shared" si="6"/>
        <v>7.0860321308348117E-3</v>
      </c>
      <c r="Z49" s="696">
        <v>1.46784</v>
      </c>
      <c r="AA49" s="696">
        <v>0.60099999999999998</v>
      </c>
      <c r="AB49" s="756">
        <f t="shared" si="13"/>
        <v>0.59055482886418142</v>
      </c>
    </row>
    <row r="50" spans="1:28" ht="14" customHeight="1" x14ac:dyDescent="0.35">
      <c r="A50" s="735">
        <v>1988</v>
      </c>
      <c r="B50" s="736">
        <v>0.13982084792006677</v>
      </c>
      <c r="C50" s="737">
        <v>2.2911034422614523E-2</v>
      </c>
      <c r="D50" s="737">
        <v>5.4729839161797501E-2</v>
      </c>
      <c r="E50" s="737">
        <v>2.5577136307573474E-2</v>
      </c>
      <c r="F50" s="737">
        <v>2.232548868152541E-2</v>
      </c>
      <c r="G50" s="737">
        <v>1.4277349346555869E-2</v>
      </c>
      <c r="H50" s="736">
        <f t="shared" si="9"/>
        <v>0.15991605945165366</v>
      </c>
      <c r="I50" s="756">
        <v>0.13982084792006677</v>
      </c>
      <c r="J50" s="739">
        <f t="shared" si="10"/>
        <v>2.2375794662366159E-2</v>
      </c>
      <c r="K50" s="739">
        <f t="shared" si="10"/>
        <v>5.3451259353874132E-2</v>
      </c>
      <c r="L50" s="739">
        <f t="shared" si="10"/>
        <v>2.4979611985773639E-2</v>
      </c>
      <c r="M50" s="739">
        <f t="shared" si="10"/>
        <v>2.1803928240870123E-2</v>
      </c>
      <c r="N50" s="739">
        <f t="shared" si="10"/>
        <v>1.3943806787967165E-2</v>
      </c>
      <c r="O50" s="739">
        <f t="shared" si="11"/>
        <v>2.3361658420802425E-2</v>
      </c>
      <c r="P50" s="740">
        <v>80.266999999999996</v>
      </c>
      <c r="Q50" s="741">
        <v>1.9200252095678005</v>
      </c>
      <c r="S50" s="733">
        <f t="shared" si="12"/>
        <v>0</v>
      </c>
      <c r="U50" s="734">
        <f t="shared" si="8"/>
        <v>7.2249630171488763E-2</v>
      </c>
      <c r="V50" s="756">
        <v>4.9200289610311462E-2</v>
      </c>
      <c r="W50" s="756">
        <f t="shared" si="6"/>
        <v>5.9760539481913573E-3</v>
      </c>
      <c r="Z50" s="696">
        <v>1.332203</v>
      </c>
      <c r="AA50" s="696">
        <v>0.623</v>
      </c>
      <c r="AB50" s="756">
        <f t="shared" si="13"/>
        <v>0.53235355272432205</v>
      </c>
    </row>
    <row r="51" spans="1:28" ht="14" customHeight="1" x14ac:dyDescent="0.35">
      <c r="A51" s="742">
        <v>1989</v>
      </c>
      <c r="B51" s="743">
        <v>0.16793233170549338</v>
      </c>
      <c r="C51" s="744">
        <v>3.1298922821693109E-2</v>
      </c>
      <c r="D51" s="744">
        <v>4.9057176904923241E-2</v>
      </c>
      <c r="E51" s="744">
        <v>2.4966703273593942E-2</v>
      </c>
      <c r="F51" s="744">
        <v>4.8227679510246042E-2</v>
      </c>
      <c r="G51" s="744">
        <v>1.4381849195037036E-2</v>
      </c>
      <c r="H51" s="743">
        <f t="shared" si="9"/>
        <v>0.19180191351092366</v>
      </c>
      <c r="I51" s="756">
        <v>0.16793233170549338</v>
      </c>
      <c r="J51" s="746">
        <f t="shared" si="10"/>
        <v>3.0401048493460203E-2</v>
      </c>
      <c r="K51" s="746">
        <f t="shared" si="10"/>
        <v>4.7649870333721311E-2</v>
      </c>
      <c r="L51" s="746">
        <f t="shared" si="10"/>
        <v>2.4250481758314461E-2</v>
      </c>
      <c r="M51" s="746">
        <f t="shared" si="10"/>
        <v>4.6844168787235421E-2</v>
      </c>
      <c r="N51" s="746">
        <f t="shared" si="10"/>
        <v>1.396927610879041E-2</v>
      </c>
      <c r="O51" s="746">
        <f t="shared" si="11"/>
        <v>2.8687068029401869E-2</v>
      </c>
      <c r="P51" s="747">
        <v>85.593999999999994</v>
      </c>
      <c r="Q51" s="748">
        <v>2.5279606809383548</v>
      </c>
      <c r="S51" s="733">
        <f t="shared" si="12"/>
        <v>0</v>
      </c>
      <c r="U51" s="734">
        <f t="shared" si="8"/>
        <v>8.1026651710973632E-2</v>
      </c>
      <c r="V51" s="756">
        <v>4.9235003396108125E-2</v>
      </c>
      <c r="W51" s="756">
        <f t="shared" si="6"/>
        <v>6.7067649622067549E-3</v>
      </c>
      <c r="Z51" s="696">
        <v>1.2944515000000001</v>
      </c>
      <c r="AA51" s="696">
        <v>0.65100000000000002</v>
      </c>
      <c r="AB51" s="756">
        <f t="shared" si="13"/>
        <v>0.49708428627878298</v>
      </c>
    </row>
    <row r="52" spans="1:28" ht="14" customHeight="1" x14ac:dyDescent="0.35">
      <c r="A52" s="749">
        <v>1990</v>
      </c>
      <c r="B52" s="750">
        <v>0.19557788944723617</v>
      </c>
      <c r="C52" s="751">
        <v>3.7268696423292932E-2</v>
      </c>
      <c r="D52" s="751">
        <v>5.5879396984924626E-2</v>
      </c>
      <c r="E52" s="751">
        <v>3.0493644694058526E-2</v>
      </c>
      <c r="F52" s="751">
        <v>4.6621342004138339E-2</v>
      </c>
      <c r="G52" s="751">
        <v>2.5314809340821757E-2</v>
      </c>
      <c r="H52" s="750">
        <f t="shared" si="9"/>
        <v>0.2222382814534053</v>
      </c>
      <c r="I52" s="756">
        <v>0.19557788944723617</v>
      </c>
      <c r="J52" s="753">
        <f t="shared" si="10"/>
        <v>3.6033526425888029E-2</v>
      </c>
      <c r="K52" s="753">
        <f t="shared" si="10"/>
        <v>5.4027425726125282E-2</v>
      </c>
      <c r="L52" s="753">
        <f t="shared" si="10"/>
        <v>2.9483015435395062E-2</v>
      </c>
      <c r="M52" s="753">
        <f t="shared" si="10"/>
        <v>4.5076203901420218E-2</v>
      </c>
      <c r="N52" s="753">
        <f t="shared" si="10"/>
        <v>2.4475818552609864E-2</v>
      </c>
      <c r="O52" s="753">
        <f t="shared" si="11"/>
        <v>3.3142291411966833E-2</v>
      </c>
      <c r="P52" s="754">
        <v>84.574999999999989</v>
      </c>
      <c r="Q52" s="755">
        <v>2.8990918428529842</v>
      </c>
      <c r="S52" s="733">
        <f t="shared" si="12"/>
        <v>0</v>
      </c>
      <c r="U52" s="734">
        <f t="shared" si="8"/>
        <v>0.1173288963214047</v>
      </c>
      <c r="V52" s="756">
        <v>4.5864666584124032E-2</v>
      </c>
      <c r="W52" s="756">
        <f t="shared" si="6"/>
        <v>9.0467887216168184E-3</v>
      </c>
      <c r="Z52" s="696">
        <v>1.2566999999999999</v>
      </c>
      <c r="AA52" s="696">
        <v>0.48</v>
      </c>
      <c r="AB52" s="756">
        <f t="shared" si="13"/>
        <v>0.61804726665075194</v>
      </c>
    </row>
    <row r="53" spans="1:28" ht="14" customHeight="1" x14ac:dyDescent="0.35">
      <c r="A53" s="735">
        <v>1991</v>
      </c>
      <c r="B53" s="736">
        <v>0.20827819538614753</v>
      </c>
      <c r="C53" s="737">
        <v>4.111812935703469E-2</v>
      </c>
      <c r="D53" s="737">
        <v>5.8607658831393843E-2</v>
      </c>
      <c r="E53" s="737">
        <v>3.8116806046302236E-2</v>
      </c>
      <c r="F53" s="737">
        <v>4.6875213162166952E-2</v>
      </c>
      <c r="G53" s="737">
        <v>2.3560387989249806E-2</v>
      </c>
      <c r="H53" s="736">
        <f t="shared" si="9"/>
        <v>0.23597268604314992</v>
      </c>
      <c r="I53" s="756">
        <v>0.20827819538614753</v>
      </c>
      <c r="J53" s="739">
        <f t="shared" si="10"/>
        <v>3.9679813975702964E-2</v>
      </c>
      <c r="K53" s="739">
        <f t="shared" si="10"/>
        <v>5.6557558340948895E-2</v>
      </c>
      <c r="L53" s="739">
        <f t="shared" si="10"/>
        <v>3.6783477189155311E-2</v>
      </c>
      <c r="M53" s="739">
        <f t="shared" si="10"/>
        <v>4.523551453898985E-2</v>
      </c>
      <c r="N53" s="739">
        <f t="shared" si="10"/>
        <v>2.2736243774399149E-2</v>
      </c>
      <c r="O53" s="739">
        <f t="shared" si="11"/>
        <v>3.4980078223953756E-2</v>
      </c>
      <c r="P53" s="740">
        <v>73.301000000000002</v>
      </c>
      <c r="Q53" s="741">
        <v>2.6570173900400404</v>
      </c>
      <c r="S53" s="733">
        <f t="shared" si="12"/>
        <v>0</v>
      </c>
      <c r="U53" s="734">
        <f t="shared" si="8"/>
        <v>0.1295263754497612</v>
      </c>
      <c r="V53" s="756">
        <v>3.9175082863018414E-2</v>
      </c>
      <c r="W53" s="756">
        <f t="shared" si="6"/>
        <v>8.5305956785086713E-3</v>
      </c>
      <c r="Z53" s="696">
        <v>1.0715110000000001</v>
      </c>
      <c r="AA53" s="696">
        <v>0.38500000000000001</v>
      </c>
      <c r="AB53" s="756">
        <f t="shared" si="13"/>
        <v>0.64069430925114168</v>
      </c>
    </row>
    <row r="54" spans="1:28" ht="14" customHeight="1" x14ac:dyDescent="0.35">
      <c r="A54" s="735">
        <v>1992</v>
      </c>
      <c r="B54" s="736">
        <v>0.19422005270206055</v>
      </c>
      <c r="C54" s="737">
        <v>4.9894163894768674E-2</v>
      </c>
      <c r="D54" s="737">
        <v>5.4530793266807778E-2</v>
      </c>
      <c r="E54" s="737">
        <v>2.162800408944951E-2</v>
      </c>
      <c r="F54" s="737">
        <v>4.6481489481187091E-2</v>
      </c>
      <c r="G54" s="737">
        <v>2.168560196984751E-2</v>
      </c>
      <c r="H54" s="736">
        <f t="shared" si="9"/>
        <v>0.22111926058292281</v>
      </c>
      <c r="I54" s="756">
        <v>0.19422005270206055</v>
      </c>
      <c r="J54" s="739">
        <f t="shared" si="10"/>
        <v>4.82285559441765E-2</v>
      </c>
      <c r="K54" s="739">
        <f t="shared" si="10"/>
        <v>5.2710401547069664E-2</v>
      </c>
      <c r="L54" s="739">
        <f t="shared" si="10"/>
        <v>2.0906000296725284E-2</v>
      </c>
      <c r="M54" s="739">
        <f t="shared" si="10"/>
        <v>4.4929806230245811E-2</v>
      </c>
      <c r="N54" s="739">
        <f t="shared" si="10"/>
        <v>2.0961675397382338E-2</v>
      </c>
      <c r="O54" s="739">
        <f t="shared" si="11"/>
        <v>3.3382821167323218E-2</v>
      </c>
      <c r="P54" s="740">
        <v>69.447000000000003</v>
      </c>
      <c r="Q54" s="741">
        <v>2.3984022137976133</v>
      </c>
      <c r="S54" s="733">
        <f t="shared" si="12"/>
        <v>0</v>
      </c>
      <c r="U54" s="734">
        <f t="shared" si="8"/>
        <v>0.11585119496516041</v>
      </c>
      <c r="V54" s="756">
        <v>3.7604896736494295E-2</v>
      </c>
      <c r="W54" s="756">
        <f t="shared" si="6"/>
        <v>7.3241316148870217E-3</v>
      </c>
      <c r="Z54" s="696">
        <v>0.9105761</v>
      </c>
      <c r="AA54" s="696">
        <v>0.35099999999999998</v>
      </c>
      <c r="AB54" s="756">
        <f t="shared" si="13"/>
        <v>0.61452974660766957</v>
      </c>
    </row>
    <row r="55" spans="1:28" ht="14" customHeight="1" x14ac:dyDescent="0.35">
      <c r="A55" s="735">
        <v>1993</v>
      </c>
      <c r="B55" s="736">
        <v>0.19241871874449429</v>
      </c>
      <c r="C55" s="737">
        <v>4.5089243362651958E-2</v>
      </c>
      <c r="D55" s="737">
        <v>4.2039925732175042E-2</v>
      </c>
      <c r="E55" s="737">
        <v>2.7037282990228631E-2</v>
      </c>
      <c r="F55" s="737">
        <v>4.3828858742054833E-2</v>
      </c>
      <c r="G55" s="737">
        <v>3.4423407917383818E-2</v>
      </c>
      <c r="H55" s="736">
        <f t="shared" si="9"/>
        <v>0.21917563111041416</v>
      </c>
      <c r="I55" s="756">
        <v>0.19241871874449429</v>
      </c>
      <c r="J55" s="739">
        <f t="shared" si="10"/>
        <v>4.3595339329333467E-2</v>
      </c>
      <c r="K55" s="739">
        <f t="shared" si="10"/>
        <v>4.0647052179017852E-2</v>
      </c>
      <c r="L55" s="739">
        <f t="shared" si="10"/>
        <v>2.6141479399465064E-2</v>
      </c>
      <c r="M55" s="739">
        <f t="shared" si="10"/>
        <v>4.2376713973869676E-2</v>
      </c>
      <c r="N55" s="739">
        <f t="shared" si="10"/>
        <v>3.3282886052451756E-2</v>
      </c>
      <c r="O55" s="739">
        <f t="shared" si="11"/>
        <v>3.3132160176276355E-2</v>
      </c>
      <c r="P55" s="740">
        <v>73.786999999999992</v>
      </c>
      <c r="Q55" s="741">
        <v>2.5284972798067393</v>
      </c>
      <c r="S55" s="733">
        <f t="shared" si="12"/>
        <v>0</v>
      </c>
      <c r="U55" s="734">
        <f t="shared" si="8"/>
        <v>0.10855273113131789</v>
      </c>
      <c r="V55" s="756">
        <v>4.2923648522569538E-2</v>
      </c>
      <c r="W55" s="756">
        <f t="shared" si="6"/>
        <v>7.8333693860465105E-3</v>
      </c>
      <c r="Z55" s="696">
        <v>0.91214240000000002</v>
      </c>
      <c r="AA55" s="696">
        <v>0.38200000000000001</v>
      </c>
      <c r="AB55" s="756">
        <f t="shared" si="13"/>
        <v>0.58120574155965121</v>
      </c>
    </row>
    <row r="56" spans="1:28" ht="14" customHeight="1" x14ac:dyDescent="0.35">
      <c r="A56" s="735">
        <v>1994</v>
      </c>
      <c r="B56" s="736">
        <v>0.18929328621908129</v>
      </c>
      <c r="C56" s="737">
        <v>4.5535924617196702E-2</v>
      </c>
      <c r="D56" s="737">
        <v>4.685512367491166E-2</v>
      </c>
      <c r="E56" s="737">
        <v>2.7597173144876325E-2</v>
      </c>
      <c r="F56" s="737">
        <v>3.5700824499411074E-2</v>
      </c>
      <c r="G56" s="737">
        <v>3.3604240282685514E-2</v>
      </c>
      <c r="H56" s="736">
        <f t="shared" si="9"/>
        <v>0.21589573879094776</v>
      </c>
      <c r="I56" s="756">
        <v>0.18929328621908129</v>
      </c>
      <c r="J56" s="739">
        <f t="shared" si="10"/>
        <v>4.4041713141759947E-2</v>
      </c>
      <c r="K56" s="739">
        <f t="shared" si="10"/>
        <v>4.5317624127760234E-2</v>
      </c>
      <c r="L56" s="739">
        <f t="shared" si="10"/>
        <v>2.6691602144631028E-2</v>
      </c>
      <c r="M56" s="739">
        <f t="shared" si="10"/>
        <v>3.4529341058632805E-2</v>
      </c>
      <c r="N56" s="739">
        <f t="shared" si="10"/>
        <v>3.2501553955882341E-2</v>
      </c>
      <c r="O56" s="739">
        <f t="shared" si="11"/>
        <v>3.2813904362281418E-2</v>
      </c>
      <c r="P56" s="740">
        <v>84.9</v>
      </c>
      <c r="Q56" s="741">
        <v>2.8804182493140544</v>
      </c>
      <c r="S56" s="733">
        <f t="shared" si="12"/>
        <v>0</v>
      </c>
      <c r="U56" s="734">
        <f t="shared" si="8"/>
        <v>0.1144897115620159</v>
      </c>
      <c r="V56" s="756">
        <v>4.9021772096243324E-2</v>
      </c>
      <c r="W56" s="756">
        <f t="shared" si="6"/>
        <v>9.4355384694326215E-3</v>
      </c>
      <c r="Z56" s="696">
        <v>1.0719430000000001</v>
      </c>
      <c r="AA56" s="696">
        <v>0.40400000000000003</v>
      </c>
      <c r="AB56" s="756">
        <f t="shared" si="13"/>
        <v>0.62311428872617292</v>
      </c>
    </row>
    <row r="57" spans="1:28" x14ac:dyDescent="0.35">
      <c r="A57" s="735">
        <v>1995</v>
      </c>
      <c r="B57" s="736">
        <v>0.20848711699164346</v>
      </c>
      <c r="C57" s="737">
        <v>4.5560584958217271E-2</v>
      </c>
      <c r="D57" s="737">
        <v>5.9235724233983288E-2</v>
      </c>
      <c r="E57" s="737">
        <v>3.1267409470752086E-2</v>
      </c>
      <c r="F57" s="737">
        <v>3.794394150417827E-2</v>
      </c>
      <c r="G57" s="737">
        <v>3.4479456824512533E-2</v>
      </c>
      <c r="H57" s="736">
        <f t="shared" si="9"/>
        <v>0.23733267458795446</v>
      </c>
      <c r="I57" s="756">
        <v>0.20848711699164346</v>
      </c>
      <c r="J57" s="739">
        <f t="shared" si="10"/>
        <v>4.3900194450688414E-2</v>
      </c>
      <c r="K57" s="739">
        <f t="shared" si="10"/>
        <v>5.7076962788867903E-2</v>
      </c>
      <c r="L57" s="739">
        <f t="shared" si="10"/>
        <v>3.0127913348657387E-2</v>
      </c>
      <c r="M57" s="739">
        <f t="shared" si="10"/>
        <v>3.6561128698997088E-2</v>
      </c>
      <c r="N57" s="739">
        <f t="shared" si="10"/>
        <v>3.322290221994207E-2</v>
      </c>
      <c r="O57" s="739">
        <f t="shared" si="11"/>
        <v>3.6443573080801622E-2</v>
      </c>
      <c r="P57" s="740">
        <v>114.88</v>
      </c>
      <c r="Q57" s="741">
        <v>4.3449844332506036</v>
      </c>
      <c r="S57" s="733">
        <f t="shared" si="12"/>
        <v>0</v>
      </c>
      <c r="U57" s="734">
        <f t="shared" si="8"/>
        <v>0.12760755697157922</v>
      </c>
      <c r="V57" s="756">
        <v>5.2284849767625673E-2</v>
      </c>
      <c r="W57" s="756">
        <f t="shared" si="6"/>
        <v>1.1216658057987997E-2</v>
      </c>
      <c r="Z57" s="696">
        <v>1.257344</v>
      </c>
      <c r="AA57" s="696">
        <v>0.46450000000000002</v>
      </c>
      <c r="AB57" s="756">
        <f t="shared" si="13"/>
        <v>0.63057047236078589</v>
      </c>
    </row>
    <row r="58" spans="1:28" x14ac:dyDescent="0.35">
      <c r="A58" s="735">
        <v>1996</v>
      </c>
      <c r="B58" s="736">
        <v>0.19729520213068072</v>
      </c>
      <c r="C58" s="737">
        <v>4.3526982738108941E-2</v>
      </c>
      <c r="D58" s="737">
        <v>4.8193603352598494E-2</v>
      </c>
      <c r="E58" s="737">
        <v>2.2688372592814324E-2</v>
      </c>
      <c r="F58" s="737">
        <v>3.7624628704321997E-2</v>
      </c>
      <c r="G58" s="737">
        <v>4.5261614742836964E-2</v>
      </c>
      <c r="H58" s="736">
        <f t="shared" si="9"/>
        <v>0.22459365070876289</v>
      </c>
      <c r="I58" s="756">
        <v>0.19729520213068072</v>
      </c>
      <c r="J58" s="739">
        <f t="shared" si="10"/>
        <v>4.2046713648912867E-2</v>
      </c>
      <c r="K58" s="739">
        <f t="shared" si="10"/>
        <v>4.655463145856531E-2</v>
      </c>
      <c r="L58" s="739">
        <f t="shared" si="10"/>
        <v>2.191678461403393E-2</v>
      </c>
      <c r="M58" s="739">
        <f t="shared" si="10"/>
        <v>3.6345087340322844E-2</v>
      </c>
      <c r="N58" s="739">
        <f t="shared" si="10"/>
        <v>4.3722354150527096E-2</v>
      </c>
      <c r="O58" s="739">
        <f t="shared" si="11"/>
        <v>3.4008079496400861E-2</v>
      </c>
      <c r="P58" s="740">
        <v>130.28700000000001</v>
      </c>
      <c r="Q58" s="741">
        <v>4.5867988740916914</v>
      </c>
      <c r="S58" s="733">
        <f t="shared" si="12"/>
        <v>0</v>
      </c>
      <c r="U58" s="734">
        <f t="shared" si="8"/>
        <v>0.12202422450602622</v>
      </c>
      <c r="V58" s="756">
        <v>6.169362773939064E-2</v>
      </c>
      <c r="W58" s="756">
        <f t="shared" si="6"/>
        <v>1.2656032654038352E-2</v>
      </c>
      <c r="Z58" s="696">
        <v>1.458046</v>
      </c>
      <c r="AA58" s="696">
        <v>0.52900000000000003</v>
      </c>
      <c r="AB58" s="756">
        <f t="shared" si="13"/>
        <v>0.63718565806565763</v>
      </c>
    </row>
    <row r="59" spans="1:28" x14ac:dyDescent="0.35">
      <c r="A59" s="735">
        <v>1997</v>
      </c>
      <c r="B59" s="736">
        <v>0.2247690207032306</v>
      </c>
      <c r="C59" s="737">
        <v>5.6301420184783436E-2</v>
      </c>
      <c r="D59" s="737">
        <v>5.4499331147722783E-2</v>
      </c>
      <c r="E59" s="737">
        <v>2.3233086354720434E-2</v>
      </c>
      <c r="F59" s="737">
        <v>5.5545929011554161E-2</v>
      </c>
      <c r="G59" s="737">
        <v>3.5189254004449777E-2</v>
      </c>
      <c r="H59" s="736">
        <f t="shared" si="9"/>
        <v>0.25499068595223295</v>
      </c>
      <c r="I59" s="756">
        <v>0.2247690207032306</v>
      </c>
      <c r="J59" s="739">
        <f t="shared" si="10"/>
        <v>5.4106561208157607E-2</v>
      </c>
      <c r="K59" s="739">
        <f t="shared" si="10"/>
        <v>5.2374724951341038E-2</v>
      </c>
      <c r="L59" s="739">
        <f t="shared" si="10"/>
        <v>2.2327365895573593E-2</v>
      </c>
      <c r="M59" s="739">
        <f t="shared" si="10"/>
        <v>5.3380522162030659E-2</v>
      </c>
      <c r="N59" s="739">
        <f t="shared" si="10"/>
        <v>3.3817433368683515E-2</v>
      </c>
      <c r="O59" s="739">
        <f t="shared" si="11"/>
        <v>3.8984078366446524E-2</v>
      </c>
      <c r="P59" s="740">
        <v>144.27699999999999</v>
      </c>
      <c r="Q59" s="741">
        <v>5.85266669142709</v>
      </c>
      <c r="S59" s="733">
        <f t="shared" si="12"/>
        <v>0</v>
      </c>
      <c r="U59" s="734">
        <f t="shared" si="8"/>
        <v>0.15380882217779418</v>
      </c>
      <c r="V59" s="756">
        <v>6.5614923781717002E-2</v>
      </c>
      <c r="W59" s="756">
        <f t="shared" si="6"/>
        <v>1.6966610775183282E-2</v>
      </c>
      <c r="Z59" s="696">
        <v>1.843988</v>
      </c>
      <c r="AA59" s="696">
        <v>0.54400000000000004</v>
      </c>
      <c r="AB59" s="756">
        <f t="shared" si="13"/>
        <v>0.70498723419024412</v>
      </c>
    </row>
    <row r="60" spans="1:28" x14ac:dyDescent="0.35">
      <c r="A60" s="735">
        <v>1998</v>
      </c>
      <c r="B60" s="736">
        <v>0.26337617575054761</v>
      </c>
      <c r="C60" s="737">
        <v>8.7078018296611256E-2</v>
      </c>
      <c r="D60" s="737">
        <v>5.963310140445819E-2</v>
      </c>
      <c r="E60" s="737">
        <v>2.7686509470429069E-2</v>
      </c>
      <c r="F60" s="737">
        <v>6.4134776446334238E-2</v>
      </c>
      <c r="G60" s="737">
        <v>2.4843770132714858E-2</v>
      </c>
      <c r="H60" s="736">
        <f t="shared" si="9"/>
        <v>0.29715641043968355</v>
      </c>
      <c r="I60" s="756">
        <v>0.26337617575054761</v>
      </c>
      <c r="J60" s="739">
        <f t="shared" si="10"/>
        <v>8.3084778059884554E-2</v>
      </c>
      <c r="K60" s="739">
        <f t="shared" si="10"/>
        <v>5.6898435358683545E-2</v>
      </c>
      <c r="L60" s="739">
        <f t="shared" si="10"/>
        <v>2.6416856281317222E-2</v>
      </c>
      <c r="M60" s="739">
        <f t="shared" si="10"/>
        <v>6.1193671734848853E-2</v>
      </c>
      <c r="N60" s="739">
        <f t="shared" si="10"/>
        <v>2.3704479821949866E-2</v>
      </c>
      <c r="O60" s="739">
        <f t="shared" si="11"/>
        <v>4.585818918299954E-2</v>
      </c>
      <c r="P60" s="740">
        <v>124.176</v>
      </c>
      <c r="Q60" s="741">
        <v>5.9681762558043117</v>
      </c>
      <c r="S60" s="733">
        <f t="shared" si="12"/>
        <v>0</v>
      </c>
      <c r="U60" s="734">
        <f t="shared" si="8"/>
        <v>0.1953236844772902</v>
      </c>
      <c r="V60" s="756">
        <v>6.545296520776768E-2</v>
      </c>
      <c r="W60" s="756">
        <f t="shared" si="6"/>
        <v>2.149292166892007E-2</v>
      </c>
      <c r="Z60" s="696">
        <v>1.85623</v>
      </c>
      <c r="AA60" s="696">
        <v>0.438</v>
      </c>
      <c r="AB60" s="756">
        <f t="shared" si="13"/>
        <v>0.76403786168739862</v>
      </c>
    </row>
    <row r="61" spans="1:28" x14ac:dyDescent="0.35">
      <c r="A61" s="742">
        <v>1999</v>
      </c>
      <c r="B61" s="743">
        <v>0.24067316633323002</v>
      </c>
      <c r="C61" s="744">
        <v>7.9411930457324809E-2</v>
      </c>
      <c r="D61" s="744">
        <v>4.5422525289526332E-2</v>
      </c>
      <c r="E61" s="744">
        <v>2.5035926625151455E-2</v>
      </c>
      <c r="F61" s="744">
        <v>5.6376623742568119E-2</v>
      </c>
      <c r="G61" s="744">
        <v>3.4426160218659303E-2</v>
      </c>
      <c r="H61" s="743">
        <f t="shared" si="9"/>
        <v>0.27232370018827079</v>
      </c>
      <c r="I61" s="756">
        <v>0.24067316633323002</v>
      </c>
      <c r="J61" s="746">
        <f t="shared" si="10"/>
        <v>7.6101853844733086E-2</v>
      </c>
      <c r="K61" s="746">
        <f t="shared" si="10"/>
        <v>4.352920727320491E-2</v>
      </c>
      <c r="L61" s="746">
        <f t="shared" si="10"/>
        <v>2.3992370137867595E-2</v>
      </c>
      <c r="M61" s="746">
        <f t="shared" si="10"/>
        <v>5.4026713059469426E-2</v>
      </c>
      <c r="N61" s="746">
        <f t="shared" si="10"/>
        <v>3.2991196641462842E-2</v>
      </c>
      <c r="O61" s="746">
        <f t="shared" si="11"/>
        <v>4.1682359231532899E-2</v>
      </c>
      <c r="P61" s="747">
        <v>141.95600000000002</v>
      </c>
      <c r="Q61" s="748">
        <v>6.174425613543586</v>
      </c>
      <c r="S61" s="733">
        <f t="shared" si="12"/>
        <v>0</v>
      </c>
      <c r="U61" s="734">
        <f t="shared" si="8"/>
        <v>0.17277606227980169</v>
      </c>
      <c r="V61" s="756">
        <v>8.2441840940179603E-2</v>
      </c>
      <c r="W61" s="756">
        <f t="shared" si="6"/>
        <v>2.3946523623223331E-2</v>
      </c>
      <c r="Z61" s="696">
        <v>1.7203790000000001</v>
      </c>
      <c r="AA61" s="696">
        <v>0.44800000000000001</v>
      </c>
      <c r="AB61" s="756">
        <f t="shared" si="13"/>
        <v>0.73959226426270019</v>
      </c>
    </row>
    <row r="62" spans="1:28" x14ac:dyDescent="0.35">
      <c r="A62" s="749">
        <v>2000</v>
      </c>
      <c r="B62" s="750">
        <v>0.24181115854898202</v>
      </c>
      <c r="C62" s="751">
        <v>7.2504429148151375E-2</v>
      </c>
      <c r="D62" s="751">
        <v>4.3873253753884581E-2</v>
      </c>
      <c r="E62" s="751">
        <v>2.1718799918677936E-2</v>
      </c>
      <c r="F62" s="751">
        <v>5.4898202201504459E-2</v>
      </c>
      <c r="G62" s="751">
        <v>4.8816473526763673E-2</v>
      </c>
      <c r="H62" s="750">
        <f t="shared" si="9"/>
        <v>0.27312296193690111</v>
      </c>
      <c r="I62" s="756">
        <v>0.24181115854898202</v>
      </c>
      <c r="J62" s="753">
        <f t="shared" si="10"/>
        <v>6.9510129699091372E-2</v>
      </c>
      <c r="K62" s="753">
        <f t="shared" si="10"/>
        <v>4.2061369140941933E-2</v>
      </c>
      <c r="L62" s="753">
        <f t="shared" si="10"/>
        <v>2.0821853464581212E-2</v>
      </c>
      <c r="M62" s="753">
        <f t="shared" si="10"/>
        <v>5.263100751370875E-2</v>
      </c>
      <c r="N62" s="753">
        <f t="shared" si="10"/>
        <v>4.6800443037266777E-2</v>
      </c>
      <c r="O62" s="753">
        <f t="shared" si="11"/>
        <v>4.1298159081311042E-2</v>
      </c>
      <c r="P62" s="754">
        <v>172.15499999999997</v>
      </c>
      <c r="Q62" s="755">
        <v>7.4159496448136055</v>
      </c>
      <c r="S62" s="733">
        <f t="shared" si="12"/>
        <v>0</v>
      </c>
      <c r="U62" s="734">
        <f t="shared" si="8"/>
        <v>0.16037075033180187</v>
      </c>
      <c r="V62" s="756">
        <v>9.5347996860633624E-2</v>
      </c>
      <c r="W62" s="756">
        <f t="shared" si="6"/>
        <v>2.5706796314110884E-2</v>
      </c>
      <c r="Z62" s="696">
        <v>1.6985479999999999</v>
      </c>
      <c r="AA62" s="696">
        <v>0.53800000000000003</v>
      </c>
      <c r="AB62" s="756">
        <f t="shared" si="13"/>
        <v>0.68325887758249992</v>
      </c>
    </row>
    <row r="63" spans="1:28" x14ac:dyDescent="0.35">
      <c r="A63" s="735">
        <v>2001</v>
      </c>
      <c r="B63" s="736">
        <v>0.26986217935098233</v>
      </c>
      <c r="C63" s="737">
        <v>9.0043768325330384E-2</v>
      </c>
      <c r="D63" s="737">
        <v>4.8704655873312651E-2</v>
      </c>
      <c r="E63" s="737">
        <v>2.4589583421861499E-2</v>
      </c>
      <c r="F63" s="737">
        <v>7.0043485035198805E-2</v>
      </c>
      <c r="G63" s="737">
        <v>3.6480686695278972E-2</v>
      </c>
      <c r="H63" s="736">
        <f t="shared" si="9"/>
        <v>0.30342349845328126</v>
      </c>
      <c r="I63" s="756">
        <v>0.26986217935098233</v>
      </c>
      <c r="J63" s="739">
        <f t="shared" si="10"/>
        <v>8.5904840637330823E-2</v>
      </c>
      <c r="K63" s="739">
        <f t="shared" si="10"/>
        <v>4.6465910733280165E-2</v>
      </c>
      <c r="L63" s="739">
        <f t="shared" si="10"/>
        <v>2.3459305229889302E-2</v>
      </c>
      <c r="M63" s="739">
        <f t="shared" si="10"/>
        <v>6.6823885001038363E-2</v>
      </c>
      <c r="N63" s="739">
        <f t="shared" si="10"/>
        <v>3.4803825241693495E-2</v>
      </c>
      <c r="O63" s="739">
        <f t="shared" si="11"/>
        <v>4.5965731610049056E-2</v>
      </c>
      <c r="P63" s="740">
        <v>141.19800000000001</v>
      </c>
      <c r="Q63" s="741">
        <v>6.802973003085965</v>
      </c>
      <c r="S63" s="733">
        <f t="shared" si="12"/>
        <v>0</v>
      </c>
      <c r="U63" s="734">
        <f t="shared" si="8"/>
        <v>0.18937351307636915</v>
      </c>
      <c r="V63" s="756">
        <v>8.1004174605676341E-2</v>
      </c>
      <c r="W63" s="756">
        <f t="shared" si="6"/>
        <v>2.5789199321478405E-2</v>
      </c>
      <c r="Z63" s="696">
        <v>1.5340689999999999</v>
      </c>
      <c r="AA63" s="696">
        <v>0.42499999999999999</v>
      </c>
      <c r="AB63" s="756">
        <f t="shared" si="13"/>
        <v>0.72295900640714339</v>
      </c>
    </row>
    <row r="64" spans="1:28" x14ac:dyDescent="0.35">
      <c r="A64" s="735">
        <v>2002</v>
      </c>
      <c r="B64" s="736">
        <v>0.2736751901930386</v>
      </c>
      <c r="C64" s="737">
        <v>0.11838739852555423</v>
      </c>
      <c r="D64" s="737">
        <v>3.2654983613635023E-2</v>
      </c>
      <c r="E64" s="737">
        <v>2.8167539951985662E-2</v>
      </c>
      <c r="F64" s="737">
        <v>6.1143055255738502E-2</v>
      </c>
      <c r="G64" s="737">
        <v>3.3322212846125167E-2</v>
      </c>
      <c r="H64" s="736">
        <f t="shared" si="9"/>
        <v>0.30780806839633928</v>
      </c>
      <c r="I64" s="756">
        <v>0.2736751901930386</v>
      </c>
      <c r="J64" s="739">
        <f t="shared" si="10"/>
        <v>0.11282390599422747</v>
      </c>
      <c r="K64" s="739">
        <f t="shared" si="10"/>
        <v>3.1120396658370172E-2</v>
      </c>
      <c r="L64" s="739">
        <f t="shared" si="10"/>
        <v>2.6843835739371387E-2</v>
      </c>
      <c r="M64" s="739">
        <f t="shared" si="10"/>
        <v>5.826970103481291E-2</v>
      </c>
      <c r="N64" s="739">
        <f t="shared" si="10"/>
        <v>3.175627014778399E-2</v>
      </c>
      <c r="O64" s="739">
        <f t="shared" si="11"/>
        <v>4.6993958821773374E-2</v>
      </c>
      <c r="P64" s="740">
        <v>152.87100000000001</v>
      </c>
      <c r="Q64" s="741">
        <v>7.538266462782893</v>
      </c>
      <c r="S64" s="733">
        <f t="shared" si="12"/>
        <v>0</v>
      </c>
      <c r="U64" s="734">
        <f t="shared" si="8"/>
        <v>0.20861103617717636</v>
      </c>
      <c r="V64" s="756">
        <v>8.4976653688708048E-2</v>
      </c>
      <c r="W64" s="756">
        <f t="shared" si="6"/>
        <v>2.9802186417232736E-2</v>
      </c>
      <c r="Z64" s="696">
        <v>1.9702360000000001</v>
      </c>
      <c r="AA64" s="696">
        <v>0.42299999999999999</v>
      </c>
      <c r="AB64" s="756">
        <f t="shared" si="13"/>
        <v>0.78530490763543048</v>
      </c>
    </row>
    <row r="65" spans="1:28" x14ac:dyDescent="0.35">
      <c r="A65" s="735">
        <v>2003</v>
      </c>
      <c r="B65" s="736">
        <v>0.25758783049619705</v>
      </c>
      <c r="C65" s="737">
        <v>0.11267415187733913</v>
      </c>
      <c r="D65" s="737">
        <v>2.9713871785584933E-2</v>
      </c>
      <c r="E65" s="737">
        <v>2.5319328745623565E-2</v>
      </c>
      <c r="F65" s="737">
        <v>5.7824459736810337E-2</v>
      </c>
      <c r="G65" s="737">
        <v>3.2056018350839065E-2</v>
      </c>
      <c r="H65" s="736">
        <f t="shared" si="9"/>
        <v>0.29046722676424919</v>
      </c>
      <c r="I65" s="756">
        <v>0.25758783049619705</v>
      </c>
      <c r="J65" s="739">
        <f t="shared" si="10"/>
        <v>0.10768412310232893</v>
      </c>
      <c r="K65" s="739">
        <f t="shared" si="10"/>
        <v>2.839792600071275E-2</v>
      </c>
      <c r="L65" s="739">
        <f t="shared" si="10"/>
        <v>2.4198005204247839E-2</v>
      </c>
      <c r="M65" s="739">
        <f t="shared" si="10"/>
        <v>5.5263573205352592E-2</v>
      </c>
      <c r="N65" s="739">
        <f t="shared" si="10"/>
        <v>3.063634532630119E-2</v>
      </c>
      <c r="O65" s="739">
        <f t="shared" si="11"/>
        <v>4.4287253925305914E-2</v>
      </c>
      <c r="P65" s="740">
        <v>207.07500000000002</v>
      </c>
      <c r="Q65" s="741">
        <v>9.5957526403712698</v>
      </c>
      <c r="S65" s="733">
        <f t="shared" si="12"/>
        <v>0</v>
      </c>
      <c r="U65" s="734">
        <f t="shared" si="8"/>
        <v>0.19232176523117281</v>
      </c>
      <c r="V65" s="756">
        <v>0.10365028500699139</v>
      </c>
      <c r="W65" s="756">
        <f t="shared" si="6"/>
        <v>3.3512757111928117E-2</v>
      </c>
      <c r="Z65" s="696">
        <v>2.322362</v>
      </c>
      <c r="AA65" s="696">
        <v>0.53600000000000003</v>
      </c>
      <c r="AB65" s="756">
        <f t="shared" si="13"/>
        <v>0.76920049501326671</v>
      </c>
    </row>
    <row r="66" spans="1:28" x14ac:dyDescent="0.35">
      <c r="A66" s="735">
        <v>2004</v>
      </c>
      <c r="B66" s="736">
        <v>0.27582382334414118</v>
      </c>
      <c r="C66" s="737">
        <v>0.11435947179465379</v>
      </c>
      <c r="D66" s="737">
        <v>3.2392575445484864E-2</v>
      </c>
      <c r="E66" s="737">
        <v>3.4216638391114648E-2</v>
      </c>
      <c r="F66" s="737">
        <v>6.1728299640984224E-2</v>
      </c>
      <c r="G66" s="737">
        <v>3.3126838071903635E-2</v>
      </c>
      <c r="H66" s="736">
        <f t="shared" si="9"/>
        <v>0.31000075762995749</v>
      </c>
      <c r="I66" s="756">
        <v>0.27582382334414118</v>
      </c>
      <c r="J66" s="739">
        <f t="shared" si="10"/>
        <v>0.10896236501528522</v>
      </c>
      <c r="K66" s="739">
        <f t="shared" si="10"/>
        <v>3.0863832912885945E-2</v>
      </c>
      <c r="L66" s="739">
        <f t="shared" si="10"/>
        <v>3.2601810619266543E-2</v>
      </c>
      <c r="M66" s="739">
        <f t="shared" si="10"/>
        <v>5.8815080305121357E-2</v>
      </c>
      <c r="N66" s="739">
        <f t="shared" si="10"/>
        <v>3.1563442582827284E-2</v>
      </c>
      <c r="O66" s="739">
        <f t="shared" si="11"/>
        <v>4.7194226194571129E-2</v>
      </c>
      <c r="P66" s="740">
        <v>258.76299999999998</v>
      </c>
      <c r="Q66" s="741">
        <v>12.817008343695896</v>
      </c>
      <c r="S66" s="733">
        <f t="shared" si="12"/>
        <v>0</v>
      </c>
      <c r="U66" s="734">
        <f t="shared" si="8"/>
        <v>0.21089227733949423</v>
      </c>
      <c r="V66" s="756">
        <v>0.13336791510510093</v>
      </c>
      <c r="W66" s="756">
        <f t="shared" si="6"/>
        <v>4.7284985528654941E-2</v>
      </c>
      <c r="Z66" s="696">
        <v>2.6802730000000001</v>
      </c>
      <c r="AA66" s="696">
        <v>0.56899999999999995</v>
      </c>
      <c r="AB66" s="756">
        <f t="shared" si="13"/>
        <v>0.78770819241174317</v>
      </c>
    </row>
    <row r="67" spans="1:28" x14ac:dyDescent="0.35">
      <c r="A67" s="735">
        <v>2005</v>
      </c>
      <c r="B67" s="736">
        <v>0.23844894139665457</v>
      </c>
      <c r="C67" s="737">
        <v>9.4658655059686889E-2</v>
      </c>
      <c r="D67" s="737">
        <v>2.9535618200959176E-2</v>
      </c>
      <c r="E67" s="737">
        <v>3.413449403131176E-2</v>
      </c>
      <c r="F67" s="737">
        <v>5.6279281664214344E-2</v>
      </c>
      <c r="G67" s="737">
        <v>2.384089244048242E-2</v>
      </c>
      <c r="H67" s="736">
        <f t="shared" si="9"/>
        <v>0.26940633772926098</v>
      </c>
      <c r="I67" s="756">
        <v>0.23844894139665457</v>
      </c>
      <c r="J67" s="739">
        <f t="shared" si="10"/>
        <v>9.081073774949576E-2</v>
      </c>
      <c r="K67" s="739">
        <f t="shared" si="10"/>
        <v>2.83349819097399E-2</v>
      </c>
      <c r="L67" s="739">
        <f t="shared" si="10"/>
        <v>3.2746911349359649E-2</v>
      </c>
      <c r="M67" s="739">
        <f t="shared" si="10"/>
        <v>5.3991503309616946E-2</v>
      </c>
      <c r="N67" s="739">
        <f t="shared" si="10"/>
        <v>2.2871749337252271E-2</v>
      </c>
      <c r="O67" s="739">
        <f t="shared" si="11"/>
        <v>4.0650454073796423E-2</v>
      </c>
      <c r="P67" s="740">
        <v>324.86200000000002</v>
      </c>
      <c r="Q67" s="741">
        <v>13.765355774023046</v>
      </c>
      <c r="S67" s="733">
        <f t="shared" si="12"/>
        <v>-3.8163916471489756E-17</v>
      </c>
      <c r="U67" s="734">
        <f t="shared" si="8"/>
        <v>0.17197311249575917</v>
      </c>
      <c r="V67" s="756">
        <v>0.15906424406918185</v>
      </c>
      <c r="W67" s="756">
        <f t="shared" si="6"/>
        <v>4.5987980570823268E-2</v>
      </c>
      <c r="Z67" s="696">
        <v>2.6578140000000001</v>
      </c>
      <c r="AA67" s="696">
        <v>0.68300000000000005</v>
      </c>
      <c r="AB67" s="756">
        <f t="shared" si="13"/>
        <v>0.74302189694237442</v>
      </c>
    </row>
    <row r="68" spans="1:28" x14ac:dyDescent="0.35">
      <c r="A68" s="735">
        <v>2006</v>
      </c>
      <c r="B68" s="736">
        <v>0.25735143112970665</v>
      </c>
      <c r="C68" s="737">
        <v>0.10365524738431713</v>
      </c>
      <c r="D68" s="737">
        <v>1.7146721942163358E-2</v>
      </c>
      <c r="E68" s="737">
        <v>3.8425415045413351E-2</v>
      </c>
      <c r="F68" s="737">
        <v>6.6563344569155067E-2</v>
      </c>
      <c r="G68" s="737">
        <v>3.1560702188657752E-2</v>
      </c>
      <c r="H68" s="736">
        <f t="shared" si="9"/>
        <v>0.28992513035707901</v>
      </c>
      <c r="I68" s="756">
        <v>0.25735143112970665</v>
      </c>
      <c r="J68" s="739">
        <f t="shared" si="10"/>
        <v>9.9108770095911652E-2</v>
      </c>
      <c r="K68" s="739">
        <f t="shared" si="10"/>
        <v>1.6394640558462521E-2</v>
      </c>
      <c r="L68" s="739">
        <f t="shared" si="10"/>
        <v>3.6740017719084091E-2</v>
      </c>
      <c r="M68" s="739">
        <f t="shared" si="10"/>
        <v>6.3643774726232102E-2</v>
      </c>
      <c r="N68" s="739">
        <f t="shared" si="10"/>
        <v>3.0176401641143245E-2</v>
      </c>
      <c r="O68" s="739">
        <f t="shared" si="11"/>
        <v>4.3861525616245407E-2</v>
      </c>
      <c r="P68" s="740">
        <v>365.20100000000002</v>
      </c>
      <c r="Q68" s="741">
        <v>16.75308906160528</v>
      </c>
      <c r="S68" s="733">
        <f t="shared" si="12"/>
        <v>0</v>
      </c>
      <c r="U68" s="734">
        <f t="shared" si="8"/>
        <v>0.19084089023668974</v>
      </c>
      <c r="V68" s="756">
        <v>0.16787251528349917</v>
      </c>
      <c r="W68" s="756">
        <f t="shared" si="6"/>
        <v>5.3859492047561519E-2</v>
      </c>
      <c r="Z68" s="696">
        <v>2.8853339999999998</v>
      </c>
      <c r="AA68" s="696">
        <v>0.68100000000000005</v>
      </c>
      <c r="AB68" s="756">
        <f t="shared" si="13"/>
        <v>0.76397879760194143</v>
      </c>
    </row>
    <row r="69" spans="1:28" x14ac:dyDescent="0.35">
      <c r="A69" s="735">
        <v>2007</v>
      </c>
      <c r="B69" s="736">
        <v>0.26148969133595518</v>
      </c>
      <c r="C69" s="737">
        <v>0.11278751042783935</v>
      </c>
      <c r="D69" s="737">
        <v>1.7831009414849244E-2</v>
      </c>
      <c r="E69" s="737">
        <v>3.6980097723751638E-2</v>
      </c>
      <c r="F69" s="737">
        <v>6.3284471457514008E-2</v>
      </c>
      <c r="G69" s="737">
        <v>3.0606602312000953E-2</v>
      </c>
      <c r="H69" s="736">
        <f t="shared" si="9"/>
        <v>0.29445988325974304</v>
      </c>
      <c r="I69" s="756">
        <v>0.26148969133595518</v>
      </c>
      <c r="J69" s="739">
        <f t="shared" si="10"/>
        <v>0.10775220378176283</v>
      </c>
      <c r="K69" s="739">
        <f t="shared" si="10"/>
        <v>1.7034958505734735E-2</v>
      </c>
      <c r="L69" s="739">
        <f t="shared" si="10"/>
        <v>3.5329151345605457E-2</v>
      </c>
      <c r="M69" s="739">
        <f t="shared" si="10"/>
        <v>6.0459187713642962E-2</v>
      </c>
      <c r="N69" s="739">
        <f t="shared" si="10"/>
        <v>2.9240195451428915E-2</v>
      </c>
      <c r="O69" s="739">
        <f t="shared" si="11"/>
        <v>4.4644186461568161E-2</v>
      </c>
      <c r="P69" s="740">
        <v>419.55000000000007</v>
      </c>
      <c r="Q69" s="741">
        <v>19.605751244216865</v>
      </c>
      <c r="S69" s="733">
        <f t="shared" si="12"/>
        <v>0</v>
      </c>
      <c r="U69" s="734">
        <f t="shared" si="8"/>
        <v>0.19923425606522768</v>
      </c>
      <c r="V69" s="756">
        <v>0.18110401031469744</v>
      </c>
      <c r="W69" s="756">
        <f t="shared" si="6"/>
        <v>6.0660125099160224E-2</v>
      </c>
      <c r="Z69" s="696">
        <v>3.0598540000000001</v>
      </c>
      <c r="AA69" s="696">
        <v>0.65800000000000003</v>
      </c>
      <c r="AB69" s="756">
        <f t="shared" si="13"/>
        <v>0.78495706004273402</v>
      </c>
    </row>
    <row r="70" spans="1:28" x14ac:dyDescent="0.35">
      <c r="A70" s="735">
        <v>2008</v>
      </c>
      <c r="B70" s="736">
        <v>0.23418262615827837</v>
      </c>
      <c r="C70" s="737">
        <v>8.5540054947256861E-2</v>
      </c>
      <c r="D70" s="737">
        <v>7.5763985056483468E-3</v>
      </c>
      <c r="E70" s="737">
        <v>4.0998935786516102E-2</v>
      </c>
      <c r="F70" s="737">
        <v>7.0703405037870856E-2</v>
      </c>
      <c r="G70" s="737">
        <v>2.9363831880986201E-2</v>
      </c>
      <c r="H70" s="736">
        <f t="shared" si="9"/>
        <v>0.26443750314237269</v>
      </c>
      <c r="I70" s="756">
        <v>0.23418262615827837</v>
      </c>
      <c r="J70" s="757">
        <f t="shared" si="10"/>
        <v>8.216065415531712E-2</v>
      </c>
      <c r="K70" s="757">
        <f t="shared" si="10"/>
        <v>7.2770804010969057E-3</v>
      </c>
      <c r="L70" s="757">
        <f t="shared" si="10"/>
        <v>3.9379205285395097E-2</v>
      </c>
      <c r="M70" s="757">
        <f t="shared" si="10"/>
        <v>6.7910150542942818E-2</v>
      </c>
      <c r="N70" s="757">
        <f t="shared" si="10"/>
        <v>2.8203765327671784E-2</v>
      </c>
      <c r="O70" s="739">
        <f t="shared" si="11"/>
        <v>3.9506647429948964E-2</v>
      </c>
      <c r="P70" s="740">
        <v>449.15799999999996</v>
      </c>
      <c r="Q70" s="741">
        <v>18.474596100910393</v>
      </c>
      <c r="S70" s="733">
        <f t="shared" si="12"/>
        <v>0</v>
      </c>
      <c r="U70" s="734">
        <f t="shared" si="8"/>
        <v>0.16207544120397871</v>
      </c>
      <c r="V70" s="756">
        <v>0.14988601451008962</v>
      </c>
      <c r="W70" s="756">
        <f t="shared" si="6"/>
        <v>4.0840358539572297E-2</v>
      </c>
      <c r="Z70" s="696">
        <v>2.6133820000000001</v>
      </c>
      <c r="AA70" s="696">
        <v>0.75</v>
      </c>
      <c r="AB70" s="756">
        <f t="shared" si="13"/>
        <v>0.71301554843493986</v>
      </c>
    </row>
    <row r="71" spans="1:28" x14ac:dyDescent="0.35">
      <c r="A71" s="742">
        <v>2009</v>
      </c>
      <c r="B71" s="743">
        <v>0.30254666034579197</v>
      </c>
      <c r="C71" s="744">
        <v>0.11080844488924674</v>
      </c>
      <c r="D71" s="744">
        <v>3.6886818718818902E-2</v>
      </c>
      <c r="E71" s="744">
        <v>5.6769982868422969E-2</v>
      </c>
      <c r="F71" s="744">
        <v>6.4013905924315051E-2</v>
      </c>
      <c r="G71" s="744">
        <v>3.4067507944988321E-2</v>
      </c>
      <c r="H71" s="743">
        <f t="shared" si="9"/>
        <v>0.33879156828500212</v>
      </c>
      <c r="I71" s="756">
        <v>0.30254666034579197</v>
      </c>
      <c r="J71" s="758">
        <f t="shared" si="10"/>
        <v>0.1050500067894464</v>
      </c>
      <c r="K71" s="758">
        <f t="shared" si="10"/>
        <v>3.4969902887149386E-2</v>
      </c>
      <c r="L71" s="758">
        <f t="shared" si="10"/>
        <v>5.3819788660740657E-2</v>
      </c>
      <c r="M71" s="758">
        <f t="shared" si="10"/>
        <v>6.0687263129534846E-2</v>
      </c>
      <c r="N71" s="758">
        <f t="shared" si="10"/>
        <v>3.2297104652064659E-2</v>
      </c>
      <c r="O71" s="746">
        <f t="shared" si="11"/>
        <v>5.1967502166066194E-2</v>
      </c>
      <c r="P71" s="747">
        <v>398.67900000000003</v>
      </c>
      <c r="Q71" s="748">
        <v>21.854052306648168</v>
      </c>
      <c r="S71" s="733">
        <f t="shared" si="12"/>
        <v>0</v>
      </c>
      <c r="U71" s="734">
        <f t="shared" si="8"/>
        <v>0.23242054766724693</v>
      </c>
      <c r="V71" s="756">
        <v>0.14898578184821715</v>
      </c>
      <c r="W71" s="759">
        <f t="shared" si="6"/>
        <v>5.8214418864470992E-2</v>
      </c>
      <c r="Z71" s="696">
        <v>2.7905790000000001</v>
      </c>
      <c r="AA71" s="696">
        <v>0.58199999999999996</v>
      </c>
      <c r="AB71" s="756">
        <f t="shared" si="13"/>
        <v>0.79144113103409719</v>
      </c>
    </row>
    <row r="72" spans="1:28" x14ac:dyDescent="0.35">
      <c r="A72" s="735">
        <v>2010</v>
      </c>
      <c r="B72" s="736">
        <v>0.26530674333348547</v>
      </c>
      <c r="C72" s="737">
        <v>0.11167756474195574</v>
      </c>
      <c r="D72" s="737">
        <v>1.2225836804853826E-2</v>
      </c>
      <c r="E72" s="737">
        <v>4.6977984366749027E-2</v>
      </c>
      <c r="F72" s="737">
        <v>6.01686756937065E-2</v>
      </c>
      <c r="G72" s="737">
        <v>3.4256681726220359E-2</v>
      </c>
      <c r="H72" s="736">
        <f t="shared" si="9"/>
        <v>0.29872706526898118</v>
      </c>
      <c r="I72" s="756">
        <v>0.26530674333348547</v>
      </c>
      <c r="J72" s="757">
        <f t="shared" si="10"/>
        <v>0.10659748522199022</v>
      </c>
      <c r="K72" s="757">
        <f t="shared" si="10"/>
        <v>1.1669698037767644E-2</v>
      </c>
      <c r="L72" s="757">
        <f t="shared" si="10"/>
        <v>4.4841011763324015E-2</v>
      </c>
      <c r="M72" s="757">
        <f t="shared" si="10"/>
        <v>5.7431674239194909E-2</v>
      </c>
      <c r="N72" s="757">
        <f t="shared" si="10"/>
        <v>3.2698386041124981E-2</v>
      </c>
      <c r="O72" s="739">
        <f t="shared" si="11"/>
        <v>4.5488809965579434E-2</v>
      </c>
      <c r="P72" s="740">
        <v>460.17300000000006</v>
      </c>
      <c r="Q72" s="741">
        <v>21.930305654704512</v>
      </c>
      <c r="S72" s="733">
        <f t="shared" si="12"/>
        <v>0</v>
      </c>
      <c r="U72" s="734">
        <f t="shared" si="8"/>
        <v>0.19459463800712956</v>
      </c>
      <c r="V72" s="756">
        <v>0.17168841361525777</v>
      </c>
      <c r="W72" s="759">
        <f t="shared" si="6"/>
        <v>5.6167239384446607E-2</v>
      </c>
      <c r="Z72" s="696">
        <v>2.7664909999999998</v>
      </c>
      <c r="AA72" s="696">
        <v>0.67600000000000005</v>
      </c>
      <c r="AB72" s="756">
        <f t="shared" si="13"/>
        <v>0.75564713566752972</v>
      </c>
    </row>
    <row r="73" spans="1:28" x14ac:dyDescent="0.35">
      <c r="A73" s="735">
        <v>2011</v>
      </c>
      <c r="B73" s="736">
        <v>0.27559669784418844</v>
      </c>
      <c r="C73" s="737">
        <v>0.1120180791604882</v>
      </c>
      <c r="D73" s="737">
        <v>2.9155854340139158E-2</v>
      </c>
      <c r="E73" s="737">
        <v>4.7832069122847043E-2</v>
      </c>
      <c r="F73" s="737">
        <v>4.3961018592448955E-2</v>
      </c>
      <c r="G73" s="737">
        <v>4.2629676628265084E-2</v>
      </c>
      <c r="H73" s="736">
        <f t="shared" si="9"/>
        <v>0.30974506466145546</v>
      </c>
      <c r="I73" s="756">
        <v>0.27559669784418844</v>
      </c>
      <c r="J73" s="757">
        <f t="shared" si="10"/>
        <v>0.10673754765827918</v>
      </c>
      <c r="K73" s="757">
        <f t="shared" si="10"/>
        <v>2.7781447561601686E-2</v>
      </c>
      <c r="L73" s="757">
        <f t="shared" si="10"/>
        <v>4.5577265704399177E-2</v>
      </c>
      <c r="M73" s="757">
        <f t="shared" si="10"/>
        <v>4.1888696470106186E-2</v>
      </c>
      <c r="N73" s="757">
        <f t="shared" si="10"/>
        <v>4.0620113957207084E-2</v>
      </c>
      <c r="O73" s="739">
        <f t="shared" si="11"/>
        <v>4.713999330986212E-2</v>
      </c>
      <c r="P73" s="740">
        <v>561.08799999999997</v>
      </c>
      <c r="Q73" s="741">
        <v>27.758206221834989</v>
      </c>
      <c r="S73" s="733">
        <f t="shared" si="12"/>
        <v>0</v>
      </c>
      <c r="U73" s="734">
        <f t="shared" si="8"/>
        <v>0.20550983473703949</v>
      </c>
      <c r="V73" s="756">
        <v>0.16912362182981472</v>
      </c>
      <c r="W73" s="756">
        <f t="shared" si="6"/>
        <v>5.8431643577656796E-2</v>
      </c>
      <c r="Z73" s="696">
        <v>3.210172</v>
      </c>
      <c r="AA73" s="696">
        <v>0.74399999999999999</v>
      </c>
      <c r="AB73" s="756">
        <f t="shared" si="13"/>
        <v>0.76823671753413836</v>
      </c>
    </row>
    <row r="74" spans="1:28" x14ac:dyDescent="0.35">
      <c r="A74" s="735">
        <v>2012</v>
      </c>
      <c r="B74" s="736">
        <v>0.30140233354190438</v>
      </c>
      <c r="C74" s="737">
        <v>0.1279730575288012</v>
      </c>
      <c r="D74" s="737">
        <v>3.6037395561117451E-2</v>
      </c>
      <c r="E74" s="737">
        <v>4.3691339394162462E-2</v>
      </c>
      <c r="F74" s="737">
        <v>4.9703706430122563E-2</v>
      </c>
      <c r="G74" s="737">
        <v>4.3996834627700689E-2</v>
      </c>
      <c r="H74" s="736">
        <f t="shared" si="9"/>
        <v>0.33746867314837736</v>
      </c>
      <c r="I74" s="756">
        <v>0.30140233354190438</v>
      </c>
      <c r="J74" s="757">
        <f t="shared" si="10"/>
        <v>0.12136622218577291</v>
      </c>
      <c r="K74" s="757">
        <f t="shared" si="10"/>
        <v>3.417690130348594E-2</v>
      </c>
      <c r="L74" s="757">
        <f t="shared" si="10"/>
        <v>4.1435696754471438E-2</v>
      </c>
      <c r="M74" s="757">
        <f t="shared" si="10"/>
        <v>4.7137664712723328E-2</v>
      </c>
      <c r="N74" s="757">
        <f t="shared" si="10"/>
        <v>4.1725420256482397E-2</v>
      </c>
      <c r="O74" s="739">
        <f t="shared" si="11"/>
        <v>5.1626767935441339E-2</v>
      </c>
      <c r="P74" s="740">
        <v>543.38</v>
      </c>
      <c r="Q74" s="741">
        <v>29.580076927825459</v>
      </c>
      <c r="S74" s="733">
        <f t="shared" si="12"/>
        <v>0</v>
      </c>
      <c r="U74" s="734">
        <f t="shared" si="8"/>
        <v>0.23222327141630777</v>
      </c>
      <c r="V74" s="756">
        <v>0.15905782597509527</v>
      </c>
      <c r="W74" s="756">
        <f t="shared" si="6"/>
        <v>6.2097197823337037E-2</v>
      </c>
      <c r="Z74" s="696">
        <v>3.2536749999999999</v>
      </c>
      <c r="AA74" s="696">
        <v>0.67100000000000004</v>
      </c>
      <c r="AB74" s="756">
        <f t="shared" si="13"/>
        <v>0.79377165820187945</v>
      </c>
    </row>
    <row r="75" spans="1:28" x14ac:dyDescent="0.35">
      <c r="A75" s="735">
        <v>2013</v>
      </c>
      <c r="B75" s="736">
        <v>0.29897445117113453</v>
      </c>
      <c r="C75" s="737">
        <v>0.12066418356698702</v>
      </c>
      <c r="D75" s="737">
        <v>1.1549149349456545E-2</v>
      </c>
      <c r="E75" s="737">
        <v>6.7893755642668141E-2</v>
      </c>
      <c r="F75" s="737">
        <v>4.7201041182195161E-2</v>
      </c>
      <c r="G75" s="737">
        <v>5.1666321429827682E-2</v>
      </c>
      <c r="H75" s="736">
        <f t="shared" si="9"/>
        <v>0.33490306562388955</v>
      </c>
      <c r="I75" s="756">
        <v>0.29897445117113453</v>
      </c>
      <c r="J75" s="757">
        <f t="shared" si="10"/>
        <v>0.11447996255410485</v>
      </c>
      <c r="K75" s="757">
        <f t="shared" si="10"/>
        <v>1.0957238063302828E-2</v>
      </c>
      <c r="L75" s="757">
        <f t="shared" si="10"/>
        <v>6.4414098482796958E-2</v>
      </c>
      <c r="M75" s="757">
        <f t="shared" si="10"/>
        <v>4.4781916781897878E-2</v>
      </c>
      <c r="N75" s="757">
        <f t="shared" si="10"/>
        <v>4.901834469638975E-2</v>
      </c>
      <c r="O75" s="739">
        <f t="shared" si="11"/>
        <v>5.1251505045397293E-2</v>
      </c>
      <c r="P75" s="740">
        <v>511.726</v>
      </c>
      <c r="Q75" s="741">
        <v>27.643498577687772</v>
      </c>
      <c r="S75" s="733">
        <f t="shared" si="12"/>
        <v>0</v>
      </c>
      <c r="U75" s="734">
        <f t="shared" si="8"/>
        <v>0.22756084151551642</v>
      </c>
      <c r="V75" s="756">
        <v>0.16055672901077334</v>
      </c>
      <c r="W75" s="756">
        <f t="shared" si="6"/>
        <v>6.1423882598098632E-2</v>
      </c>
      <c r="Z75" s="696">
        <v>2.8909150000000001</v>
      </c>
      <c r="AA75" s="696">
        <v>0.624</v>
      </c>
      <c r="AB75" s="756">
        <f t="shared" si="13"/>
        <v>0.78415138459622646</v>
      </c>
    </row>
    <row r="76" spans="1:28" x14ac:dyDescent="0.35">
      <c r="A76" s="735">
        <v>2014</v>
      </c>
      <c r="B76" s="736">
        <v>0.33766189244098976</v>
      </c>
      <c r="C76" s="737">
        <v>0.11109547368762923</v>
      </c>
      <c r="D76" s="737">
        <v>3.9963841465394986E-2</v>
      </c>
      <c r="E76" s="737">
        <v>6.8897886421784613E-2</v>
      </c>
      <c r="F76" s="737">
        <v>6.5559897947768606E-2</v>
      </c>
      <c r="G76" s="737">
        <v>5.2144792918412342E-2</v>
      </c>
      <c r="H76" s="736">
        <f t="shared" si="9"/>
        <v>0.37616149902966656</v>
      </c>
      <c r="I76" s="756">
        <v>0.33766189244098976</v>
      </c>
      <c r="J76" s="757">
        <f t="shared" si="10"/>
        <v>0.10463784731532307</v>
      </c>
      <c r="K76" s="757">
        <f t="shared" si="10"/>
        <v>3.7640870528602141E-2</v>
      </c>
      <c r="L76" s="757">
        <f t="shared" si="10"/>
        <v>6.4893071521724341E-2</v>
      </c>
      <c r="M76" s="757">
        <f t="shared" si="10"/>
        <v>6.1749109696002474E-2</v>
      </c>
      <c r="N76" s="757">
        <f t="shared" si="10"/>
        <v>4.9113782034249931E-2</v>
      </c>
      <c r="O76" s="739">
        <f t="shared" si="11"/>
        <v>5.812681793376457E-2</v>
      </c>
      <c r="P76" s="740">
        <v>554.226</v>
      </c>
      <c r="Q76" s="741">
        <v>34.203536537144039</v>
      </c>
      <c r="S76" s="733">
        <f t="shared" si="12"/>
        <v>0</v>
      </c>
      <c r="U76" s="734">
        <f>+$U$77*((I76*AB76)/($I$77*$AB$77))</f>
        <v>0.26658904429260477</v>
      </c>
      <c r="V76" s="756">
        <v>0.16257022390757828</v>
      </c>
      <c r="W76" s="756">
        <f t="shared" si="6"/>
        <v>7.2860898648978073E-2</v>
      </c>
      <c r="Z76" s="696">
        <v>3.0490750000000002</v>
      </c>
      <c r="AA76" s="696">
        <v>0.56899999999999995</v>
      </c>
      <c r="AB76" s="756">
        <f t="shared" si="13"/>
        <v>0.81338602690980055</v>
      </c>
    </row>
    <row r="77" spans="1:28" x14ac:dyDescent="0.35">
      <c r="A77" s="735">
        <v>2015</v>
      </c>
      <c r="B77" s="736">
        <v>0.42995851004207553</v>
      </c>
      <c r="C77" s="737">
        <v>0.15391854249792969</v>
      </c>
      <c r="D77" s="737">
        <v>6.8646641070039399E-2</v>
      </c>
      <c r="E77" s="737">
        <v>8.2946456205509125E-2</v>
      </c>
      <c r="F77" s="737">
        <v>6.4859427672798148E-2</v>
      </c>
      <c r="G77" s="737">
        <v>5.9587442595799144E-2</v>
      </c>
      <c r="H77" s="736">
        <f t="shared" si="9"/>
        <v>0.47205436030883263</v>
      </c>
      <c r="I77" s="756">
        <v>0.42995851004207553</v>
      </c>
      <c r="J77" s="757">
        <f t="shared" si="10"/>
        <v>0.14255212087351671</v>
      </c>
      <c r="K77" s="757">
        <f t="shared" si="10"/>
        <v>6.3577293005544128E-2</v>
      </c>
      <c r="L77" s="757">
        <f t="shared" si="10"/>
        <v>7.6821109784070626E-2</v>
      </c>
      <c r="M77" s="757">
        <f t="shared" si="10"/>
        <v>6.0069753931851315E-2</v>
      </c>
      <c r="N77" s="757">
        <f t="shared" si="10"/>
        <v>5.5187089103149164E-2</v>
      </c>
      <c r="O77" s="739">
        <f t="shared" si="11"/>
        <v>7.3846993610700656E-2</v>
      </c>
      <c r="P77" s="740">
        <v>478.18800000000005</v>
      </c>
      <c r="Q77" s="741">
        <v>38.128414999573373</v>
      </c>
      <c r="S77" s="733">
        <f t="shared" si="12"/>
        <v>0</v>
      </c>
      <c r="U77" s="734">
        <v>0.3619370081190203</v>
      </c>
      <c r="V77" s="756">
        <v>0.1479102583300671</v>
      </c>
      <c r="W77" s="759">
        <v>0.09</v>
      </c>
      <c r="Z77" s="696">
        <v>3.457554</v>
      </c>
      <c r="AA77" s="696">
        <v>0.45900000000000002</v>
      </c>
      <c r="AB77" s="756">
        <f t="shared" si="13"/>
        <v>0.86724719266857431</v>
      </c>
    </row>
    <row r="78" spans="1:28" x14ac:dyDescent="0.35">
      <c r="A78" s="735">
        <v>2016</v>
      </c>
      <c r="B78" s="736">
        <v>0.48051095394964177</v>
      </c>
      <c r="C78" s="737">
        <v>0.17718215116680872</v>
      </c>
      <c r="D78" s="737">
        <v>9.92927733880071E-2</v>
      </c>
      <c r="E78" s="737">
        <v>9.7954341265636152E-2</v>
      </c>
      <c r="F78" s="737">
        <v>4.4066898569421087E-2</v>
      </c>
      <c r="G78" s="737">
        <v>6.2014789559768711E-2</v>
      </c>
      <c r="H78" s="736">
        <f t="shared" si="9"/>
        <v>0.52326130944155103</v>
      </c>
      <c r="I78" s="756">
        <v>0.48001067385618357</v>
      </c>
      <c r="J78" s="757">
        <f t="shared" si="10"/>
        <v>0.16260128558977396</v>
      </c>
      <c r="K78" s="757">
        <f t="shared" si="10"/>
        <v>9.1121664887475945E-2</v>
      </c>
      <c r="L78" s="757">
        <f t="shared" si="10"/>
        <v>8.9893376471633896E-2</v>
      </c>
      <c r="M78" s="757">
        <f t="shared" si="10"/>
        <v>4.0440497601794051E-2</v>
      </c>
      <c r="N78" s="757">
        <f t="shared" si="10"/>
        <v>5.6911401298567407E-2</v>
      </c>
      <c r="O78" s="739">
        <f t="shared" si="11"/>
        <v>8.2293083592305832E-2</v>
      </c>
      <c r="P78" s="740">
        <v>434.09</v>
      </c>
      <c r="Q78" s="741">
        <v>38.925940317000027</v>
      </c>
      <c r="S78" s="733">
        <f t="shared" si="12"/>
        <v>0</v>
      </c>
      <c r="U78" s="734">
        <v>0.36224558978351656</v>
      </c>
      <c r="V78" s="760">
        <v>0.15</v>
      </c>
      <c r="W78" s="756">
        <v>8.8279246563469235E-2</v>
      </c>
      <c r="Z78" s="696">
        <v>3.492518</v>
      </c>
      <c r="AA78" s="696">
        <v>0.41699999999999998</v>
      </c>
      <c r="AB78" s="756">
        <f t="shared" si="13"/>
        <v>0.88060190384129733</v>
      </c>
    </row>
    <row r="79" spans="1:28" x14ac:dyDescent="0.35">
      <c r="A79" s="735">
        <v>2017</v>
      </c>
      <c r="B79" s="736">
        <v>0.45534633477549002</v>
      </c>
      <c r="C79" s="737">
        <v>0.1583004583301072</v>
      </c>
      <c r="D79" s="737">
        <v>0.11065452258696847</v>
      </c>
      <c r="E79" s="737">
        <v>7.2184631305815899E-2</v>
      </c>
      <c r="F79" s="737">
        <v>4.7772462801988928E-2</v>
      </c>
      <c r="G79" s="737">
        <v>6.6434259750609501E-2</v>
      </c>
      <c r="H79" s="736">
        <f t="shared" si="9"/>
        <v>0.48851145484920178</v>
      </c>
      <c r="I79" s="738"/>
      <c r="J79" s="757">
        <f t="shared" si="10"/>
        <v>0.14866120674060856</v>
      </c>
      <c r="K79" s="757">
        <f t="shared" si="10"/>
        <v>0.10391653336076301</v>
      </c>
      <c r="L79" s="757">
        <f t="shared" si="10"/>
        <v>6.7789155579517119E-2</v>
      </c>
      <c r="M79" s="757">
        <f t="shared" si="10"/>
        <v>4.4863495936977929E-2</v>
      </c>
      <c r="N79" s="757">
        <f t="shared" si="10"/>
        <v>6.2388936378501271E-2</v>
      </c>
      <c r="O79" s="739">
        <f t="shared" si="11"/>
        <v>6.0892126852833829E-2</v>
      </c>
      <c r="P79" s="740">
        <v>529.53099999999995</v>
      </c>
      <c r="Q79" s="741">
        <v>34.335000000000001</v>
      </c>
      <c r="S79" s="733">
        <f t="shared" si="12"/>
        <v>0</v>
      </c>
      <c r="U79" s="734">
        <v>0.35975842449750389</v>
      </c>
      <c r="V79" s="760">
        <v>0.15820000000000001</v>
      </c>
      <c r="W79" s="756">
        <v>8.9892875696098218E-2</v>
      </c>
      <c r="Z79" s="696">
        <v>3.9496190000000002</v>
      </c>
      <c r="AA79" s="696">
        <v>0.53600000000000003</v>
      </c>
      <c r="AB79" s="756">
        <f t="shared" si="13"/>
        <v>0.86429070753406845</v>
      </c>
    </row>
    <row r="80" spans="1:28" x14ac:dyDescent="0.35">
      <c r="A80" s="761">
        <v>2018</v>
      </c>
      <c r="B80" s="762">
        <v>0.4548119378792424</v>
      </c>
      <c r="C80" s="763">
        <v>0.17168113028483417</v>
      </c>
      <c r="D80" s="763">
        <v>6.127346500576264E-2</v>
      </c>
      <c r="E80" s="763">
        <v>7.0681395173414305E-2</v>
      </c>
      <c r="F80" s="763">
        <v>7.0879623051270851E-2</v>
      </c>
      <c r="G80" s="763">
        <v>8.029632436396042E-2</v>
      </c>
      <c r="H80" s="762">
        <f t="shared" si="9"/>
        <v>0.48868572067862648</v>
      </c>
      <c r="I80" s="764"/>
      <c r="J80" s="765">
        <f t="shared" si="10"/>
        <v>0.16101418850441584</v>
      </c>
      <c r="K80" s="765">
        <f t="shared" si="10"/>
        <v>5.7466404306566458E-2</v>
      </c>
      <c r="L80" s="765">
        <f t="shared" si="10"/>
        <v>6.6289798228411231E-2</v>
      </c>
      <c r="M80" s="765">
        <f t="shared" si="10"/>
        <v>6.6475709754267739E-2</v>
      </c>
      <c r="N80" s="765">
        <f t="shared" si="10"/>
        <v>7.5307329849822968E-2</v>
      </c>
      <c r="O80" s="766">
        <f t="shared" si="11"/>
        <v>6.2132290035142215E-2</v>
      </c>
      <c r="P80" s="767">
        <v>570.05100000000004</v>
      </c>
      <c r="Q80" s="768">
        <v>37.765000000000001</v>
      </c>
      <c r="R80" s="696" t="s">
        <v>534</v>
      </c>
      <c r="S80" s="733">
        <f t="shared" si="12"/>
        <v>0</v>
      </c>
      <c r="U80" s="734">
        <v>0.35639008352064244</v>
      </c>
      <c r="V80" s="760">
        <v>0.189</v>
      </c>
      <c r="W80" s="756">
        <v>9.9017331291928773E-2</v>
      </c>
      <c r="Z80" s="696">
        <v>4.0198150000000004</v>
      </c>
      <c r="AA80" s="696">
        <v>0.52200000000000002</v>
      </c>
      <c r="AB80" s="756">
        <f t="shared" si="13"/>
        <v>0.8701432777379059</v>
      </c>
    </row>
    <row r="81" spans="1:23" x14ac:dyDescent="0.35">
      <c r="A81" s="735">
        <v>2019</v>
      </c>
      <c r="B81" s="736">
        <v>0.47173789511748532</v>
      </c>
      <c r="C81" s="737">
        <v>0.16789659071558813</v>
      </c>
      <c r="D81" s="737">
        <v>6.3861661765465566E-2</v>
      </c>
      <c r="E81" s="737">
        <v>8.7110000554852948E-2</v>
      </c>
      <c r="F81" s="737">
        <v>6.5792167389569917E-2</v>
      </c>
      <c r="G81" s="737">
        <v>8.7077474692008772E-2</v>
      </c>
      <c r="H81" s="736">
        <f t="shared" si="9"/>
        <v>0.50733549121561095</v>
      </c>
      <c r="I81" s="738"/>
      <c r="J81" s="757">
        <f t="shared" si="10"/>
        <v>0.15658267103953066</v>
      </c>
      <c r="K81" s="757">
        <f t="shared" si="10"/>
        <v>5.9558264605853402E-2</v>
      </c>
      <c r="L81" s="757">
        <f t="shared" si="10"/>
        <v>8.1239985296899145E-2</v>
      </c>
      <c r="M81" s="757">
        <f t="shared" si="10"/>
        <v>6.1358680717882474E-2</v>
      </c>
      <c r="N81" s="757">
        <f t="shared" si="10"/>
        <v>8.1209651229600333E-2</v>
      </c>
      <c r="O81" s="739">
        <f t="shared" si="11"/>
        <v>6.7386238325844977E-2</v>
      </c>
      <c r="P81" s="740">
        <v>522.66100000000006</v>
      </c>
      <c r="Q81" s="741">
        <v>37.765000000000001</v>
      </c>
      <c r="S81" s="733">
        <f t="shared" si="12"/>
        <v>0</v>
      </c>
      <c r="U81" s="734">
        <v>0.37420932775225652</v>
      </c>
      <c r="V81" s="769">
        <v>0.17799999999999999</v>
      </c>
      <c r="W81" s="756">
        <v>0.10003235676728385</v>
      </c>
    </row>
    <row r="82" spans="1:23" ht="16" thickBot="1" x14ac:dyDescent="0.4">
      <c r="A82" s="770">
        <v>2020</v>
      </c>
      <c r="B82" s="771">
        <v>0.48</v>
      </c>
      <c r="C82" s="772">
        <v>0.17</v>
      </c>
      <c r="D82" s="772">
        <v>0.06</v>
      </c>
      <c r="E82" s="772">
        <v>0.08</v>
      </c>
      <c r="F82" s="772">
        <v>7.0000000000000007E-2</v>
      </c>
      <c r="G82" s="772">
        <v>0.1</v>
      </c>
      <c r="H82" s="773">
        <v>0.52</v>
      </c>
      <c r="I82" s="774"/>
      <c r="J82" s="775">
        <v>0.16</v>
      </c>
      <c r="K82" s="775">
        <v>0.06</v>
      </c>
      <c r="L82" s="775">
        <v>0.08</v>
      </c>
      <c r="M82" s="775">
        <v>7.0000000000000007E-2</v>
      </c>
      <c r="N82" s="775">
        <v>0.09</v>
      </c>
      <c r="O82" s="775">
        <v>7.0000000000000007E-2</v>
      </c>
      <c r="P82" s="776">
        <v>454.6</v>
      </c>
      <c r="Q82" s="777">
        <v>33</v>
      </c>
      <c r="S82" s="733">
        <v>0</v>
      </c>
    </row>
    <row r="83" spans="1:23" ht="16.5" thickTop="1" thickBot="1" x14ac:dyDescent="0.4">
      <c r="H83" s="778"/>
      <c r="I83" s="778"/>
    </row>
    <row r="84" spans="1:23" s="782" customFormat="1" ht="16" customHeight="1" x14ac:dyDescent="0.35">
      <c r="A84" s="779" t="s">
        <v>535</v>
      </c>
      <c r="B84" s="780"/>
      <c r="C84" s="780"/>
      <c r="D84" s="780"/>
      <c r="E84" s="780"/>
      <c r="F84" s="780"/>
      <c r="G84" s="780"/>
      <c r="H84" s="780"/>
      <c r="I84" s="780"/>
      <c r="J84" s="780"/>
      <c r="K84" s="780"/>
      <c r="L84" s="780"/>
      <c r="M84" s="780"/>
      <c r="N84" s="780"/>
      <c r="O84" s="780"/>
      <c r="P84" s="780"/>
      <c r="Q84" s="781"/>
    </row>
    <row r="85" spans="1:23" s="782" customFormat="1" x14ac:dyDescent="0.35">
      <c r="A85" s="783" t="s">
        <v>536</v>
      </c>
      <c r="B85" s="696"/>
      <c r="C85" s="696"/>
      <c r="D85" s="696"/>
      <c r="E85" s="696"/>
      <c r="F85" s="696"/>
      <c r="G85" s="696"/>
      <c r="H85" s="696"/>
      <c r="I85" s="696"/>
      <c r="Q85" s="784"/>
    </row>
    <row r="86" spans="1:23" s="782" customFormat="1" x14ac:dyDescent="0.35">
      <c r="A86" s="783" t="s">
        <v>537</v>
      </c>
      <c r="B86" s="696"/>
      <c r="C86" s="696"/>
      <c r="D86" s="696"/>
      <c r="E86" s="696"/>
      <c r="F86" s="696"/>
      <c r="G86" s="696"/>
      <c r="H86" s="696"/>
      <c r="I86" s="696"/>
      <c r="Q86" s="784"/>
    </row>
    <row r="87" spans="1:23" s="782" customFormat="1" x14ac:dyDescent="0.35">
      <c r="A87" s="783" t="s">
        <v>538</v>
      </c>
      <c r="B87" s="696"/>
      <c r="C87" s="696"/>
      <c r="D87" s="696"/>
      <c r="E87" s="696"/>
      <c r="F87" s="696"/>
      <c r="G87" s="696"/>
      <c r="H87" s="696"/>
      <c r="I87" s="696"/>
      <c r="Q87" s="784"/>
    </row>
    <row r="88" spans="1:23" s="782" customFormat="1" ht="16" thickBot="1" x14ac:dyDescent="0.4">
      <c r="A88" s="785" t="s">
        <v>539</v>
      </c>
      <c r="B88" s="786"/>
      <c r="C88" s="786"/>
      <c r="D88" s="786"/>
      <c r="E88" s="786"/>
      <c r="F88" s="786"/>
      <c r="G88" s="786"/>
      <c r="H88" s="786"/>
      <c r="I88" s="786"/>
      <c r="J88" s="787"/>
      <c r="K88" s="787"/>
      <c r="L88" s="787"/>
      <c r="M88" s="787"/>
      <c r="N88" s="787"/>
      <c r="O88" s="787"/>
      <c r="P88" s="787"/>
      <c r="Q88" s="788"/>
    </row>
    <row r="90" spans="1:23" s="782" customFormat="1" x14ac:dyDescent="0.35">
      <c r="A90" s="696"/>
      <c r="B90" s="696"/>
      <c r="C90" s="696"/>
      <c r="D90" s="696"/>
      <c r="E90" s="696"/>
      <c r="F90" s="696"/>
      <c r="G90" s="696"/>
      <c r="H90" s="696"/>
      <c r="I90" s="696"/>
    </row>
  </sheetData>
  <mergeCells count="10">
    <mergeCell ref="A84:Q84"/>
    <mergeCell ref="A3:Q3"/>
    <mergeCell ref="B6:G6"/>
    <mergeCell ref="H6:O6"/>
    <mergeCell ref="P6:P9"/>
    <mergeCell ref="Q6:Q9"/>
    <mergeCell ref="B7:G7"/>
    <mergeCell ref="H7:O7"/>
    <mergeCell ref="B8:B9"/>
    <mergeCell ref="H8:H9"/>
  </mergeCells>
  <pageMargins left="0.75" right="0.75" top="1" bottom="1" header="0.5" footer="0.5"/>
  <pageSetup scale="48"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D65"/>
  <sheetViews>
    <sheetView zoomScale="50" zoomScaleNormal="50" zoomScalePageLayoutView="50" workbookViewId="0">
      <pane xSplit="2" ySplit="3" topLeftCell="C4" activePane="bottomRight" state="frozen"/>
      <selection activeCell="H64" sqref="B2:O64"/>
      <selection pane="topRight" activeCell="H64" sqref="B2:O64"/>
      <selection pane="bottomLeft" activeCell="H64" sqref="B2:O64"/>
      <selection pane="bottomRight" activeCell="H64" sqref="B2:O64"/>
    </sheetView>
  </sheetViews>
  <sheetFormatPr defaultColWidth="11.81640625" defaultRowHeight="15.5" outlineLevelCol="1" x14ac:dyDescent="0.35"/>
  <cols>
    <col min="1" max="1" width="11.81640625" style="473"/>
    <col min="2" max="2" width="58.1796875" style="473" bestFit="1" customWidth="1"/>
    <col min="3" max="8" width="22.1796875" style="473" customWidth="1"/>
    <col min="9" max="9" width="8.453125" style="473" hidden="1" customWidth="1" outlineLevel="1"/>
    <col min="10" max="15" width="22.1796875" style="473" hidden="1" customWidth="1" outlineLevel="1"/>
    <col min="16" max="16" width="11.81640625" style="473" collapsed="1"/>
    <col min="17" max="16384" width="11.81640625" style="473"/>
  </cols>
  <sheetData>
    <row r="1" spans="2:30" ht="16" thickBot="1" x14ac:dyDescent="0.4">
      <c r="B1" s="472"/>
      <c r="C1" s="472"/>
      <c r="D1" s="472"/>
      <c r="E1" s="472"/>
      <c r="F1" s="472"/>
      <c r="G1" s="472"/>
      <c r="H1" s="472"/>
      <c r="I1" s="472"/>
      <c r="J1" s="472"/>
      <c r="K1" s="472"/>
      <c r="L1" s="472"/>
      <c r="M1" s="472"/>
      <c r="N1" s="472"/>
      <c r="O1" s="472"/>
    </row>
    <row r="2" spans="2:30" ht="114.5" customHeight="1" thickTop="1" x14ac:dyDescent="0.35">
      <c r="B2" s="549" t="s">
        <v>431</v>
      </c>
      <c r="C2" s="549"/>
      <c r="D2" s="549"/>
      <c r="E2" s="549"/>
      <c r="F2" s="549"/>
      <c r="G2" s="549"/>
      <c r="H2" s="549"/>
      <c r="I2" s="487"/>
      <c r="J2" s="549" t="s">
        <v>444</v>
      </c>
      <c r="K2" s="549"/>
      <c r="L2" s="549"/>
      <c r="M2" s="549"/>
      <c r="N2" s="549"/>
      <c r="O2" s="549"/>
    </row>
    <row r="3" spans="2:30" s="476" customFormat="1" ht="124" customHeight="1" x14ac:dyDescent="0.35">
      <c r="B3" s="474"/>
      <c r="C3" s="475">
        <v>2015</v>
      </c>
      <c r="D3" s="475">
        <v>2016</v>
      </c>
      <c r="E3" s="475">
        <v>2017</v>
      </c>
      <c r="F3" s="475">
        <v>2018</v>
      </c>
      <c r="G3" s="475">
        <v>2019</v>
      </c>
      <c r="H3" s="475" t="s">
        <v>448</v>
      </c>
      <c r="I3" s="475"/>
      <c r="J3" s="475">
        <v>2015</v>
      </c>
      <c r="K3" s="475">
        <v>2016</v>
      </c>
      <c r="L3" s="475">
        <v>2017</v>
      </c>
      <c r="M3" s="475">
        <v>2018</v>
      </c>
      <c r="N3" s="475">
        <v>2019</v>
      </c>
      <c r="O3" s="475" t="s">
        <v>448</v>
      </c>
    </row>
    <row r="4" spans="2:30" ht="40" customHeight="1" x14ac:dyDescent="0.35">
      <c r="B4" s="550" t="s">
        <v>31</v>
      </c>
      <c r="C4" s="550"/>
      <c r="D4" s="550"/>
      <c r="E4" s="550"/>
      <c r="F4" s="550"/>
      <c r="G4" s="550"/>
      <c r="H4" s="550"/>
      <c r="I4" s="550"/>
      <c r="J4" s="550"/>
      <c r="K4" s="550"/>
      <c r="L4" s="550"/>
      <c r="M4" s="550"/>
      <c r="N4" s="550"/>
      <c r="O4" s="550"/>
    </row>
    <row r="5" spans="2:30" ht="33.5" x14ac:dyDescent="0.75">
      <c r="B5" s="477" t="str">
        <f>[3]TableA1!$A10</f>
        <v>Australia</v>
      </c>
      <c r="C5" s="662">
        <v>12.001898115930068</v>
      </c>
      <c r="D5" s="541">
        <v>15.186733460463564</v>
      </c>
      <c r="E5" s="541">
        <v>17.849382170851936</v>
      </c>
      <c r="F5" s="541">
        <v>25.238981043193291</v>
      </c>
      <c r="G5" s="662">
        <f>+VLOOKUP(B5,TableC4!B:X,2,0)/1000</f>
        <v>30.237660882699593</v>
      </c>
      <c r="H5" s="665">
        <f>+G5-D5</f>
        <v>15.050927422236029</v>
      </c>
      <c r="I5" s="479"/>
      <c r="J5" s="480">
        <v>6.7825450297755593E-2</v>
      </c>
      <c r="K5" s="481">
        <v>7.6390651124448358E-2</v>
      </c>
      <c r="L5" s="481">
        <v>7.1643328997565092E-2</v>
      </c>
      <c r="M5" s="481">
        <v>9.7649461332347171E-2</v>
      </c>
      <c r="N5" s="481">
        <f>+VLOOKUP('Table A'!B5,TableC4d!B:P,10,0)</f>
        <v>0.13796919947353922</v>
      </c>
      <c r="O5" s="482">
        <f>+N5-J5</f>
        <v>7.0143749175783629E-2</v>
      </c>
      <c r="Y5" s="490"/>
      <c r="AC5" s="490"/>
      <c r="AD5" s="490"/>
    </row>
    <row r="6" spans="2:30" ht="33.5" x14ac:dyDescent="0.75">
      <c r="B6" s="477" t="str">
        <f>[3]TableA1!$A11</f>
        <v>Austria</v>
      </c>
      <c r="C6" s="662">
        <v>3.5893290717257158</v>
      </c>
      <c r="D6" s="541">
        <v>4.2614494996265204</v>
      </c>
      <c r="E6" s="541">
        <v>4.4348782901527635</v>
      </c>
      <c r="F6" s="541">
        <v>5.2946008016717476</v>
      </c>
      <c r="G6" s="662">
        <f>+VLOOKUP(B6,TableC4!B:X,2,0)/1000</f>
        <v>4.7184182275650439</v>
      </c>
      <c r="H6" s="665">
        <f t="shared" ref="H6:H64" si="0">+G6-D6</f>
        <v>0.4569687279385235</v>
      </c>
      <c r="I6" s="479"/>
      <c r="J6" s="480">
        <v>0.10563501241772515</v>
      </c>
      <c r="K6" s="481">
        <v>0.11482539552641426</v>
      </c>
      <c r="L6" s="481">
        <v>0.10765062062062075</v>
      </c>
      <c r="M6" s="481">
        <v>0.1075327581698176</v>
      </c>
      <c r="N6" s="481">
        <f>+VLOOKUP('Table A'!B6,TableC4d!B:P,10,0)</f>
        <v>9.7607757291373373E-2</v>
      </c>
      <c r="O6" s="482">
        <f t="shared" ref="O6:O48" si="1">+N6-J6</f>
        <v>-8.0272551263517733E-3</v>
      </c>
    </row>
    <row r="7" spans="2:30" ht="33.5" x14ac:dyDescent="0.75">
      <c r="B7" s="477" t="str">
        <f>[3]TableA1!$A13</f>
        <v>Canada</v>
      </c>
      <c r="C7" s="662">
        <v>17.230105012370196</v>
      </c>
      <c r="D7" s="541">
        <v>15.198357978649357</v>
      </c>
      <c r="E7" s="541">
        <v>15.594488609946557</v>
      </c>
      <c r="F7" s="541">
        <v>20.931459218852694</v>
      </c>
      <c r="G7" s="662">
        <f>+VLOOKUP(B7,TableC4!B:X,2,0)/1000</f>
        <v>25.814305850775881</v>
      </c>
      <c r="H7" s="665">
        <f t="shared" si="0"/>
        <v>10.615947872126524</v>
      </c>
      <c r="I7" s="479"/>
      <c r="J7" s="480">
        <v>9.2280382186396753E-2</v>
      </c>
      <c r="K7" s="481">
        <v>7.6301193030542072E-2</v>
      </c>
      <c r="L7" s="481">
        <v>6.6987975746094275E-2</v>
      </c>
      <c r="M7" s="481">
        <v>8.8617148452999436E-2</v>
      </c>
      <c r="N7" s="481">
        <f>+VLOOKUP('Table A'!B7,TableC4d!B:P,10,0)</f>
        <v>9.4387945382259628E-2</v>
      </c>
      <c r="O7" s="482">
        <f t="shared" si="1"/>
        <v>2.1075631958628743E-3</v>
      </c>
    </row>
    <row r="8" spans="2:30" ht="33.5" x14ac:dyDescent="0.75">
      <c r="B8" s="477" t="str">
        <f>[3]TableA1!$A14</f>
        <v>Chile</v>
      </c>
      <c r="C8" s="662">
        <v>4.7302225724644016</v>
      </c>
      <c r="D8" s="541">
        <v>5.2950006605710724</v>
      </c>
      <c r="E8" s="541">
        <v>5.4973809100320352</v>
      </c>
      <c r="F8" s="541">
        <v>7.14489650270687</v>
      </c>
      <c r="G8" s="662">
        <f>+VLOOKUP(B8,TableC4!B:X,2,0)/1000</f>
        <v>9.1137105364196724</v>
      </c>
      <c r="H8" s="665">
        <f t="shared" si="0"/>
        <v>3.8187098758486</v>
      </c>
      <c r="I8" s="479"/>
      <c r="J8" s="480">
        <v>0.10858052429150625</v>
      </c>
      <c r="K8" s="481">
        <v>0.12037488258781079</v>
      </c>
      <c r="L8" s="481">
        <v>0.11876549683457166</v>
      </c>
      <c r="M8" s="481">
        <v>0.13354442875030118</v>
      </c>
      <c r="N8" s="481">
        <f>+VLOOKUP('Table A'!B8,TableC4d!B:P,10,0)</f>
        <v>0.18021631251270342</v>
      </c>
      <c r="O8" s="482">
        <f t="shared" si="1"/>
        <v>7.1635788221197177E-2</v>
      </c>
    </row>
    <row r="9" spans="2:30" ht="33.5" x14ac:dyDescent="0.75">
      <c r="B9" s="477" t="str">
        <f>[3]TableA1!$A15</f>
        <v>Czech Republic</v>
      </c>
      <c r="C9" s="662">
        <v>1.7605746705110292</v>
      </c>
      <c r="D9" s="541">
        <v>2.1802195274240144</v>
      </c>
      <c r="E9" s="541">
        <v>2.3708505250210434</v>
      </c>
      <c r="F9" s="541">
        <v>3.0074942318917577</v>
      </c>
      <c r="G9" s="662">
        <f>+VLOOKUP(B9,TableC4!B:X,2,0)/1000</f>
        <v>2.7979236849221483</v>
      </c>
      <c r="H9" s="665">
        <f t="shared" si="0"/>
        <v>0.6177041574981339</v>
      </c>
      <c r="I9" s="479"/>
      <c r="J9" s="480">
        <v>4.9842555724673894E-2</v>
      </c>
      <c r="K9" s="481">
        <v>5.6636793936156428E-2</v>
      </c>
      <c r="L9" s="481">
        <v>5.5915669479175159E-2</v>
      </c>
      <c r="M9" s="481">
        <v>6.7235673807373941E-2</v>
      </c>
      <c r="N9" s="481">
        <f>+VLOOKUP('Table A'!B9,TableC4d!B:P,10,0)</f>
        <v>6.0019345938042513E-2</v>
      </c>
      <c r="O9" s="482">
        <f t="shared" si="1"/>
        <v>1.0176790213368619E-2</v>
      </c>
    </row>
    <row r="10" spans="2:30" ht="33.5" x14ac:dyDescent="0.75">
      <c r="B10" s="477" t="str">
        <f>[3]TableA1!$A16</f>
        <v>Denmark</v>
      </c>
      <c r="C10" s="662">
        <v>2.9616756315975024</v>
      </c>
      <c r="D10" s="541">
        <v>4.4750467204865734</v>
      </c>
      <c r="E10" s="541">
        <v>4.8109598942684464</v>
      </c>
      <c r="F10" s="541">
        <v>6.103106845926634</v>
      </c>
      <c r="G10" s="662">
        <f>+VLOOKUP(B10,TableC4!B:X,2,0)/1000</f>
        <v>5.5915697826862871</v>
      </c>
      <c r="H10" s="665">
        <f t="shared" si="0"/>
        <v>1.1165230621997138</v>
      </c>
      <c r="I10" s="479"/>
      <c r="J10" s="480">
        <v>8.4308238779602376E-2</v>
      </c>
      <c r="K10" s="481">
        <v>0.11927580428934675</v>
      </c>
      <c r="L10" s="481">
        <v>9.8031585428375034E-2</v>
      </c>
      <c r="M10" s="481">
        <v>0.13130241498020279</v>
      </c>
      <c r="N10" s="481">
        <f>+VLOOKUP('Table A'!B10,TableC4d!B:P,10,0)</f>
        <v>0.11281496316698668</v>
      </c>
      <c r="O10" s="482">
        <f t="shared" si="1"/>
        <v>2.8506724387384302E-2</v>
      </c>
    </row>
    <row r="11" spans="2:30" ht="33.5" x14ac:dyDescent="0.75">
      <c r="B11" s="477" t="str">
        <f>[3]TableA1!$A17</f>
        <v>Estonia</v>
      </c>
      <c r="C11" s="662">
        <v>0.24368604717346201</v>
      </c>
      <c r="D11" s="541">
        <v>0.3216259581959694</v>
      </c>
      <c r="E11" s="541">
        <v>0.31883604719417619</v>
      </c>
      <c r="F11" s="541">
        <v>0.43833912491552618</v>
      </c>
      <c r="G11" s="662">
        <f>+VLOOKUP(B11,TableC4!B:X,2,0)/1000</f>
        <v>0.40808481532341384</v>
      </c>
      <c r="H11" s="665">
        <f t="shared" si="0"/>
        <v>8.6458857127444444E-2</v>
      </c>
      <c r="I11" s="479"/>
      <c r="J11" s="480">
        <v>0.10357148064219124</v>
      </c>
      <c r="K11" s="481">
        <v>0.15753433513164125</v>
      </c>
      <c r="L11" s="481">
        <v>0.15441695263547353</v>
      </c>
      <c r="M11" s="481">
        <v>0.14335183444145599</v>
      </c>
      <c r="N11" s="481">
        <f>+VLOOKUP('Table A'!B11,TableC4d!B:P,10,0)</f>
        <v>0.14320658791780397</v>
      </c>
      <c r="O11" s="482">
        <f t="shared" si="1"/>
        <v>3.963510727561273E-2</v>
      </c>
    </row>
    <row r="12" spans="2:30" ht="33.5" x14ac:dyDescent="0.75">
      <c r="B12" s="477" t="str">
        <f>[3]TableA1!$A18</f>
        <v>Finland</v>
      </c>
      <c r="C12" s="662">
        <v>2.7147863725476888</v>
      </c>
      <c r="D12" s="541">
        <v>3.2431441058527981</v>
      </c>
      <c r="E12" s="541">
        <v>3.9879065869212909</v>
      </c>
      <c r="F12" s="541">
        <v>5.2261436376272279</v>
      </c>
      <c r="G12" s="662">
        <f>+VLOOKUP(B12,TableC4!B:X,2,0)/1000</f>
        <v>4.7682215123263179</v>
      </c>
      <c r="H12" s="665">
        <f t="shared" si="0"/>
        <v>1.5250774064735197</v>
      </c>
      <c r="I12" s="479"/>
      <c r="J12" s="480">
        <v>0.10766710208423033</v>
      </c>
      <c r="K12" s="481">
        <v>0.12221408014023442</v>
      </c>
      <c r="L12" s="481">
        <v>0.11523155997636586</v>
      </c>
      <c r="M12" s="481">
        <v>0.14910233588871938</v>
      </c>
      <c r="N12" s="481">
        <f>+VLOOKUP('Table A'!B12,TableC4d!B:P,10,0)</f>
        <v>0.14036374482253366</v>
      </c>
      <c r="O12" s="482">
        <f t="shared" si="1"/>
        <v>3.2696642738303333E-2</v>
      </c>
    </row>
    <row r="13" spans="2:30" ht="33.5" x14ac:dyDescent="0.75">
      <c r="B13" s="477" t="str">
        <f>[3]TableA1!$A19</f>
        <v>France</v>
      </c>
      <c r="C13" s="662">
        <v>32.08314908112564</v>
      </c>
      <c r="D13" s="541">
        <v>36.00298813004683</v>
      </c>
      <c r="E13" s="541">
        <v>40.031628644827144</v>
      </c>
      <c r="F13" s="541">
        <v>46.696783894794983</v>
      </c>
      <c r="G13" s="662">
        <f>+VLOOKUP(B13,TableC4!B:X,2,0)/1000</f>
        <v>42.561533775583356</v>
      </c>
      <c r="H13" s="665">
        <f t="shared" si="0"/>
        <v>6.5585456455365261</v>
      </c>
      <c r="I13" s="479"/>
      <c r="J13" s="480">
        <v>0.20997354799632112</v>
      </c>
      <c r="K13" s="481">
        <v>0.23890082750939995</v>
      </c>
      <c r="L13" s="481">
        <v>0.22095809198259919</v>
      </c>
      <c r="M13" s="481">
        <v>0.26292877080329241</v>
      </c>
      <c r="N13" s="481">
        <f>+VLOOKUP('Table A'!B13,TableC4d!B:P,10,0)</f>
        <v>0.2176535483408765</v>
      </c>
      <c r="O13" s="482">
        <f t="shared" si="1"/>
        <v>7.6800003445553766E-3</v>
      </c>
    </row>
    <row r="14" spans="2:30" ht="33.5" x14ac:dyDescent="0.75">
      <c r="B14" s="477" t="str">
        <f>[3]TableA1!$A20</f>
        <v>Germany</v>
      </c>
      <c r="C14" s="662">
        <v>54.902660173481536</v>
      </c>
      <c r="D14" s="541">
        <v>65.391620445463857</v>
      </c>
      <c r="E14" s="541">
        <v>65.923376779899769</v>
      </c>
      <c r="F14" s="541">
        <v>83.225183427728908</v>
      </c>
      <c r="G14" s="662">
        <f>+VLOOKUP(B14,TableC4!B:X,2,0)/1000</f>
        <v>75.553765553562798</v>
      </c>
      <c r="H14" s="665">
        <f t="shared" si="0"/>
        <v>10.16214510809894</v>
      </c>
      <c r="I14" s="479"/>
      <c r="J14" s="480">
        <v>0.27915742108293917</v>
      </c>
      <c r="K14" s="481">
        <v>0.28358731313486601</v>
      </c>
      <c r="L14" s="481">
        <v>0.26127485100474251</v>
      </c>
      <c r="M14" s="481">
        <v>0.2918573071841562</v>
      </c>
      <c r="N14" s="544">
        <f>+VLOOKUP('Table A'!B14,TableC4d!B:P,10,0)</f>
        <v>0.29157703980486771</v>
      </c>
      <c r="O14" s="482">
        <f t="shared" si="1"/>
        <v>1.2419618721928538E-2</v>
      </c>
    </row>
    <row r="15" spans="2:30" ht="33.5" x14ac:dyDescent="0.75">
      <c r="B15" s="477" t="str">
        <f>[3]TableA1!$A21</f>
        <v>Greece</v>
      </c>
      <c r="C15" s="662">
        <v>1.0464804684901017</v>
      </c>
      <c r="D15" s="541">
        <v>1.7183186112878792</v>
      </c>
      <c r="E15" s="541">
        <v>1.8408432403662112</v>
      </c>
      <c r="F15" s="541">
        <v>2.1653431527442177</v>
      </c>
      <c r="G15" s="662">
        <f>+VLOOKUP(B15,TableC4!B:X,2,0)/1000</f>
        <v>1.9217787716980914</v>
      </c>
      <c r="H15" s="665">
        <f t="shared" si="0"/>
        <v>0.2034601604102122</v>
      </c>
      <c r="I15" s="479"/>
      <c r="J15" s="480">
        <v>7.2009177498450469E-2</v>
      </c>
      <c r="K15" s="481">
        <v>0.10306379493778557</v>
      </c>
      <c r="L15" s="481">
        <v>0.13463315932449813</v>
      </c>
      <c r="M15" s="481">
        <v>0.14787530243774208</v>
      </c>
      <c r="N15" s="481">
        <f>+VLOOKUP('Table A'!B15,TableC4d!B:P,10,0)</f>
        <v>0.11807154008664292</v>
      </c>
      <c r="O15" s="482">
        <f t="shared" si="1"/>
        <v>4.6062362588192449E-2</v>
      </c>
    </row>
    <row r="16" spans="2:30" ht="33.5" x14ac:dyDescent="0.75">
      <c r="B16" s="477" t="str">
        <f>[3]TableA1!$A22</f>
        <v>Hungary</v>
      </c>
      <c r="C16" s="662">
        <v>2.3948158426447881</v>
      </c>
      <c r="D16" s="541">
        <v>3.6645820938115832</v>
      </c>
      <c r="E16" s="541">
        <v>4.1913114487859913</v>
      </c>
      <c r="F16" s="541">
        <v>6.266037934968991</v>
      </c>
      <c r="G16" s="662">
        <f>+VLOOKUP(B16,TableC4!B:X,2,0)/1000</f>
        <v>5.7709681178497929</v>
      </c>
      <c r="H16" s="665">
        <f t="shared" si="0"/>
        <v>2.1063860240382097</v>
      </c>
      <c r="I16" s="479"/>
      <c r="J16" s="480">
        <v>0.20716531812951985</v>
      </c>
      <c r="K16" s="481">
        <v>0.2358404356150357</v>
      </c>
      <c r="L16" s="481">
        <v>0.12967235482879061</v>
      </c>
      <c r="M16" s="481">
        <v>0.31075709138920871</v>
      </c>
      <c r="N16" s="481">
        <f>+VLOOKUP('Table A'!B16,TableC4d!B:P,10,0)</f>
        <v>0.24594113585300639</v>
      </c>
      <c r="O16" s="482">
        <f t="shared" si="1"/>
        <v>3.8775817723486539E-2</v>
      </c>
    </row>
    <row r="17" spans="2:15" ht="33.5" x14ac:dyDescent="0.75">
      <c r="B17" s="477" t="str">
        <f>[3]TableA1!$A23</f>
        <v>Iceland</v>
      </c>
      <c r="C17" s="662">
        <v>0.43773338031755893</v>
      </c>
      <c r="D17" s="541">
        <v>0.5211963765156874</v>
      </c>
      <c r="E17" s="541">
        <v>0.52543533490845074</v>
      </c>
      <c r="F17" s="541">
        <v>0.59501054260623998</v>
      </c>
      <c r="G17" s="662">
        <f>+VLOOKUP(B17,TableC4!B:X,2,0)/1000</f>
        <v>0.65883319122273554</v>
      </c>
      <c r="H17" s="665">
        <f t="shared" si="0"/>
        <v>0.13763681470704814</v>
      </c>
      <c r="I17" s="479"/>
      <c r="J17" s="480">
        <v>0.21979920473468681</v>
      </c>
      <c r="K17" s="481">
        <v>0.19942467056272711</v>
      </c>
      <c r="L17" s="481">
        <v>0.15730890376433715</v>
      </c>
      <c r="M17" s="481">
        <v>0.18024887311802001</v>
      </c>
      <c r="N17" s="481">
        <f>+VLOOKUP('Table A'!B17,TableC4d!B:P,10,0)</f>
        <v>0.25615598414569818</v>
      </c>
      <c r="O17" s="482">
        <f t="shared" si="1"/>
        <v>3.635677941101137E-2</v>
      </c>
    </row>
    <row r="18" spans="2:15" ht="33.5" x14ac:dyDescent="0.75">
      <c r="B18" s="477" t="str">
        <f>[3]TableA1!$A25</f>
        <v>Israel</v>
      </c>
      <c r="C18" s="662">
        <v>0.63705559338188589</v>
      </c>
      <c r="D18" s="541">
        <v>2.3990782200701437</v>
      </c>
      <c r="E18" s="541">
        <v>2.5440727440132997</v>
      </c>
      <c r="F18" s="541">
        <v>4.0720428149806027</v>
      </c>
      <c r="G18" s="662">
        <f>+VLOOKUP(B18,TableC4!B:X,2,0)/1000</f>
        <v>4.8595584270358758</v>
      </c>
      <c r="H18" s="665">
        <f t="shared" si="0"/>
        <v>2.4604802069657321</v>
      </c>
      <c r="I18" s="479"/>
      <c r="J18" s="480">
        <v>1.7851891100410196E-2</v>
      </c>
      <c r="K18" s="481">
        <v>6.0991213522355842E-2</v>
      </c>
      <c r="L18" s="481">
        <v>5.2442381205074613E-2</v>
      </c>
      <c r="M18" s="481">
        <v>7.8328714198686131E-2</v>
      </c>
      <c r="N18" s="481">
        <f>+VLOOKUP('Table A'!B18,TableC4d!B:P,10,0)</f>
        <v>9.2029896735391137E-2</v>
      </c>
      <c r="O18" s="482">
        <f t="shared" si="1"/>
        <v>7.4178005634980948E-2</v>
      </c>
    </row>
    <row r="19" spans="2:15" ht="33.5" x14ac:dyDescent="0.75">
      <c r="B19" s="477" t="str">
        <f>[3]TableA1!$A26</f>
        <v>Italy</v>
      </c>
      <c r="C19" s="662">
        <v>22.701788950523405</v>
      </c>
      <c r="D19" s="541">
        <v>23.997248470594876</v>
      </c>
      <c r="E19" s="541">
        <v>26.475521411255528</v>
      </c>
      <c r="F19" s="541">
        <v>31.702188320587151</v>
      </c>
      <c r="G19" s="662">
        <f>+VLOOKUP(B19,TableC4!B:X,2,0)/1000</f>
        <v>28.93118085791528</v>
      </c>
      <c r="H19" s="665">
        <f t="shared" si="0"/>
        <v>4.9339323873204037</v>
      </c>
      <c r="I19" s="479"/>
      <c r="J19" s="480">
        <v>0.19117642800501949</v>
      </c>
      <c r="K19" s="481">
        <v>0.1886465436817534</v>
      </c>
      <c r="L19" s="481">
        <v>0.15476308875175407</v>
      </c>
      <c r="M19" s="481">
        <v>0.19521539579379302</v>
      </c>
      <c r="N19" s="481">
        <f>+VLOOKUP('Table A'!B19,TableC4d!B:P,10,0)</f>
        <v>0.17588559138604407</v>
      </c>
      <c r="O19" s="482">
        <f t="shared" si="1"/>
        <v>-1.5290836618975429E-2</v>
      </c>
    </row>
    <row r="20" spans="2:15" ht="33.5" x14ac:dyDescent="0.75">
      <c r="B20" s="477" t="str">
        <f>[3]TableA1!$A27</f>
        <v>Japan</v>
      </c>
      <c r="C20" s="662">
        <v>9</v>
      </c>
      <c r="D20" s="541">
        <v>11.822189073205433</v>
      </c>
      <c r="E20" s="541">
        <v>13.838332192145188</v>
      </c>
      <c r="F20" s="541">
        <v>17.255920618470522</v>
      </c>
      <c r="G20" s="662">
        <f>+VLOOKUP(B20,TableC4!B:X,2,0)/1000</f>
        <v>17.616745199274654</v>
      </c>
      <c r="H20" s="665">
        <f t="shared" si="0"/>
        <v>5.7945561260692209</v>
      </c>
      <c r="I20" s="479"/>
      <c r="J20" s="480">
        <v>0.02</v>
      </c>
      <c r="K20" s="481">
        <v>2.0068264094953346E-2</v>
      </c>
      <c r="L20" s="481">
        <v>2.3557737794889837E-2</v>
      </c>
      <c r="M20" s="481">
        <v>2.5916312289758273E-2</v>
      </c>
      <c r="N20" s="481">
        <f>+VLOOKUP('Table A'!B20,TableC4d!B:P,10,0)</f>
        <v>2.7939462578061635E-2</v>
      </c>
      <c r="O20" s="482">
        <f t="shared" si="1"/>
        <v>7.9394625780616346E-3</v>
      </c>
    </row>
    <row r="21" spans="2:15" ht="33.5" x14ac:dyDescent="0.75">
      <c r="B21" s="477" t="str">
        <f>[3]TableA1!$A28</f>
        <v>Korea</v>
      </c>
      <c r="C21" s="662">
        <v>4.4366599333901586</v>
      </c>
      <c r="D21" s="541">
        <v>4.6798849530002444</v>
      </c>
      <c r="E21" s="541">
        <v>6.1734182103798005</v>
      </c>
      <c r="F21" s="541">
        <v>8.4132472625248553</v>
      </c>
      <c r="G21" s="662">
        <f>+VLOOKUP(B21,TableC4!B:X,2,0)/1000</f>
        <v>10.036126203705848</v>
      </c>
      <c r="H21" s="665">
        <f t="shared" si="0"/>
        <v>5.3562412507056036</v>
      </c>
      <c r="I21" s="479"/>
      <c r="J21" s="480">
        <v>2.3559034749706397E-2</v>
      </c>
      <c r="K21" s="481">
        <v>2.2353860780750807E-2</v>
      </c>
      <c r="L21" s="481">
        <v>2.3157038070597321E-2</v>
      </c>
      <c r="M21" s="481">
        <v>2.9041864107233271E-2</v>
      </c>
      <c r="N21" s="481">
        <f>+VLOOKUP('Table A'!B21,TableC4d!B:P,10,0)</f>
        <v>3.1254384853862678E-2</v>
      </c>
      <c r="O21" s="482">
        <f t="shared" si="1"/>
        <v>7.6953501041562809E-3</v>
      </c>
    </row>
    <row r="22" spans="2:15" ht="33.5" x14ac:dyDescent="0.75">
      <c r="B22" s="477" t="str">
        <f>[3]TableA1!$A29</f>
        <v>Latvia</v>
      </c>
      <c r="C22" s="662">
        <v>0.20097282338156508</v>
      </c>
      <c r="D22" s="541">
        <v>0.25804887401624577</v>
      </c>
      <c r="E22" s="541">
        <v>0.27470701993185587</v>
      </c>
      <c r="F22" s="541">
        <v>0.41229801069776245</v>
      </c>
      <c r="G22" s="662">
        <f>+VLOOKUP(B22,TableC4!B:X,2,0)/1000</f>
        <v>0.38361702552887589</v>
      </c>
      <c r="H22" s="665">
        <f t="shared" si="0"/>
        <v>0.12556815151263012</v>
      </c>
      <c r="I22" s="479"/>
      <c r="J22" s="480">
        <v>6.9942883428137856E-2</v>
      </c>
      <c r="K22" s="481">
        <v>8.2487735475061344E-2</v>
      </c>
      <c r="L22" s="481">
        <v>8.6309859222023333E-2</v>
      </c>
      <c r="M22" s="481">
        <v>0.22739948745119543</v>
      </c>
      <c r="N22" s="481">
        <f>+VLOOKUP('Table A'!B22,TableC4d!B:P,10,0)</f>
        <v>1.4370369939272372</v>
      </c>
      <c r="O22" s="482">
        <f t="shared" si="1"/>
        <v>1.3670941104990992</v>
      </c>
    </row>
    <row r="23" spans="2:15" ht="33.5" x14ac:dyDescent="0.75">
      <c r="B23" s="477" t="str">
        <f>[3]TableA1!$A31</f>
        <v>Mexico</v>
      </c>
      <c r="C23" s="662">
        <v>12.115511599266812</v>
      </c>
      <c r="D23" s="541">
        <v>11.05080617697517</v>
      </c>
      <c r="E23" s="541">
        <v>10.987574051335292</v>
      </c>
      <c r="F23" s="541">
        <v>16.724249430502969</v>
      </c>
      <c r="G23" s="662">
        <f>+VLOOKUP(B23,TableC4!B:X,2,0)/1000</f>
        <v>20.361605787002816</v>
      </c>
      <c r="H23" s="665">
        <f t="shared" si="0"/>
        <v>9.3107996100276456</v>
      </c>
      <c r="I23" s="479"/>
      <c r="J23" s="480">
        <v>9.722953735639249E-2</v>
      </c>
      <c r="K23" s="481">
        <v>8.8277492665807228E-2</v>
      </c>
      <c r="L23" s="481">
        <v>8.1106999015288006E-2</v>
      </c>
      <c r="M23" s="481">
        <v>0.11922716548764499</v>
      </c>
      <c r="N23" s="481">
        <f>+VLOOKUP('Table A'!B23,TableC4d!B:P,10,0)</f>
        <v>0.1464226475009392</v>
      </c>
      <c r="O23" s="482">
        <f t="shared" si="1"/>
        <v>4.9193110144546706E-2</v>
      </c>
    </row>
    <row r="24" spans="2:15" ht="33.5" x14ac:dyDescent="0.75">
      <c r="B24" s="477" t="str">
        <f>[3]TableA1!$A33</f>
        <v>New Zealand</v>
      </c>
      <c r="C24" s="662">
        <v>1.4127580464257283</v>
      </c>
      <c r="D24" s="541">
        <v>1.9298795757142502</v>
      </c>
      <c r="E24" s="541">
        <v>1.984262874211592</v>
      </c>
      <c r="F24" s="541">
        <v>2.6649261651961003</v>
      </c>
      <c r="G24" s="662">
        <f>+VLOOKUP(B24,TableC4!B:X,2,0)/1000</f>
        <v>3.1555257621012385</v>
      </c>
      <c r="H24" s="665">
        <f t="shared" si="0"/>
        <v>1.2256461863869883</v>
      </c>
      <c r="I24" s="479"/>
      <c r="J24" s="480">
        <v>4.9727423642897652E-2</v>
      </c>
      <c r="K24" s="481">
        <v>5.7666567997749184E-2</v>
      </c>
      <c r="L24" s="481">
        <v>5.7563816556013316E-2</v>
      </c>
      <c r="M24" s="481">
        <v>7.0406844746315825E-2</v>
      </c>
      <c r="N24" s="481">
        <f>+VLOOKUP('Table A'!B24,TableC4d!B:P,10,0)</f>
        <v>0.10845174076478585</v>
      </c>
      <c r="O24" s="482">
        <f t="shared" si="1"/>
        <v>5.8724317121888199E-2</v>
      </c>
    </row>
    <row r="25" spans="2:15" ht="33.5" x14ac:dyDescent="0.75">
      <c r="B25" s="477" t="str">
        <f>[3]TableA1!$A34</f>
        <v>Norway</v>
      </c>
      <c r="C25" s="662">
        <v>4.9697162876448902</v>
      </c>
      <c r="D25" s="541">
        <v>6.2274581821361075</v>
      </c>
      <c r="E25" s="541">
        <v>5.9121179045364771</v>
      </c>
      <c r="F25" s="541">
        <v>7.2264910993426845</v>
      </c>
      <c r="G25" s="662">
        <f>+VLOOKUP(B25,TableC4!B:X,2,0)/1000</f>
        <v>8.1323730332965596</v>
      </c>
      <c r="H25" s="665">
        <f t="shared" si="0"/>
        <v>1.9049148511604521</v>
      </c>
      <c r="I25" s="479"/>
      <c r="J25" s="480">
        <v>7.9022923686169505E-2</v>
      </c>
      <c r="K25" s="481">
        <v>0.10429007216066878</v>
      </c>
      <c r="L25" s="481">
        <v>7.307190890031845E-2</v>
      </c>
      <c r="M25" s="481">
        <v>6.3975667408534317E-2</v>
      </c>
      <c r="N25" s="481">
        <f>+VLOOKUP('Table A'!B25,TableC4d!B:P,10,0)</f>
        <v>7.5095748251736025E-2</v>
      </c>
      <c r="O25" s="482">
        <f t="shared" si="1"/>
        <v>-3.9271754344334803E-3</v>
      </c>
    </row>
    <row r="26" spans="2:15" ht="33.5" x14ac:dyDescent="0.75">
      <c r="B26" s="477" t="str">
        <f>[3]TableA1!$A35</f>
        <v>Poland</v>
      </c>
      <c r="C26" s="662">
        <v>3.6957534122054829</v>
      </c>
      <c r="D26" s="541">
        <v>4.2049262216454952</v>
      </c>
      <c r="E26" s="541">
        <v>4.3415613024244397</v>
      </c>
      <c r="F26" s="541">
        <v>5.9155058539171703</v>
      </c>
      <c r="G26" s="662">
        <f>+VLOOKUP(B26,TableC4!B:X,2,0)/1000</f>
        <v>5.3524895728422361</v>
      </c>
      <c r="H26" s="665">
        <f t="shared" si="0"/>
        <v>1.1475633511967409</v>
      </c>
      <c r="I26" s="479"/>
      <c r="J26" s="480">
        <v>7.995762060743801E-2</v>
      </c>
      <c r="K26" s="481">
        <v>9.2160070510784509E-2</v>
      </c>
      <c r="L26" s="481">
        <v>8.1271092807283729E-2</v>
      </c>
      <c r="M26" s="481">
        <v>9.1256778594276625E-2</v>
      </c>
      <c r="N26" s="481">
        <f>+VLOOKUP('Table A'!B26,TableC4d!B:P,10,0)</f>
        <v>7.7154164151821164E-2</v>
      </c>
      <c r="O26" s="482">
        <f t="shared" si="1"/>
        <v>-2.8034564556168456E-3</v>
      </c>
    </row>
    <row r="27" spans="2:15" ht="33.5" x14ac:dyDescent="0.75">
      <c r="B27" s="477" t="str">
        <f>[3]TableA1!$A36</f>
        <v>Portugal</v>
      </c>
      <c r="C27" s="662">
        <v>2.6381016430905269</v>
      </c>
      <c r="D27" s="541">
        <v>3.2599578171412329</v>
      </c>
      <c r="E27" s="541">
        <v>3.1681518538521507</v>
      </c>
      <c r="F27" s="541">
        <v>3.7789861652380776</v>
      </c>
      <c r="G27" s="662">
        <f>+VLOOKUP(B27,TableC4!B:X,2,0)/1000</f>
        <v>3.4499354454827147</v>
      </c>
      <c r="H27" s="665">
        <f t="shared" si="0"/>
        <v>0.1899776283414818</v>
      </c>
      <c r="I27" s="479"/>
      <c r="J27" s="480">
        <v>8.8984298209723964E-2</v>
      </c>
      <c r="K27" s="481">
        <v>0.10907372539849944</v>
      </c>
      <c r="L27" s="481">
        <v>9.3766868837645651E-2</v>
      </c>
      <c r="M27" s="481">
        <v>9.8788412947997103E-2</v>
      </c>
      <c r="N27" s="481">
        <f>+VLOOKUP('Table A'!B27,TableC4d!B:P,10,0)</f>
        <v>9.71410865476839E-2</v>
      </c>
      <c r="O27" s="482">
        <f t="shared" si="1"/>
        <v>8.156788337959936E-3</v>
      </c>
    </row>
    <row r="28" spans="2:15" ht="33.5" x14ac:dyDescent="0.75">
      <c r="B28" s="477" t="str">
        <f>[3]TableA1!$A37</f>
        <v>Slovakia</v>
      </c>
      <c r="C28" s="662">
        <v>0.63679409313137514</v>
      </c>
      <c r="D28" s="541">
        <v>0.85017936558352614</v>
      </c>
      <c r="E28" s="541">
        <v>0.9424606884737754</v>
      </c>
      <c r="F28" s="541">
        <v>1.1270875762281831</v>
      </c>
      <c r="G28" s="662">
        <f>+VLOOKUP(B28,TableC4!B:X,2,0)/1000</f>
        <v>1.0493305818597645</v>
      </c>
      <c r="H28" s="665">
        <f t="shared" si="0"/>
        <v>0.19915121627623833</v>
      </c>
      <c r="I28" s="479"/>
      <c r="J28" s="480">
        <v>4.8026979941344722E-2</v>
      </c>
      <c r="K28" s="481">
        <v>5.9769321144162252E-2</v>
      </c>
      <c r="L28" s="481">
        <v>5.9886940897175001E-2</v>
      </c>
      <c r="M28" s="481">
        <v>6.9327251066273174E-2</v>
      </c>
      <c r="N28" s="481">
        <f>+VLOOKUP('Table A'!B28,TableC4d!B:P,10,0)</f>
        <v>6.9113731865188086E-2</v>
      </c>
      <c r="O28" s="482">
        <f t="shared" si="1"/>
        <v>2.1086751923843364E-2</v>
      </c>
    </row>
    <row r="29" spans="2:15" ht="33.5" x14ac:dyDescent="0.75">
      <c r="B29" s="477" t="str">
        <f>[3]TableA1!$A38</f>
        <v>Slovenia</v>
      </c>
      <c r="C29" s="662">
        <v>0.22529212274620541</v>
      </c>
      <c r="D29" s="541">
        <v>0.8899768792232039</v>
      </c>
      <c r="E29" s="541">
        <v>0.36733475016642186</v>
      </c>
      <c r="F29" s="541">
        <v>0.46136445601106613</v>
      </c>
      <c r="G29" s="662">
        <f>+VLOOKUP(B29,TableC4!B:X,2,0)/1000</f>
        <v>0.41441801892595304</v>
      </c>
      <c r="H29" s="665">
        <f t="shared" si="0"/>
        <v>-0.47555886029725086</v>
      </c>
      <c r="I29" s="479"/>
      <c r="J29" s="480">
        <v>0.21</v>
      </c>
      <c r="K29" s="481">
        <v>0.21211811591422622</v>
      </c>
      <c r="L29" s="481">
        <v>8.0887612841893344E-2</v>
      </c>
      <c r="M29" s="481">
        <v>8.3789168240549272E-2</v>
      </c>
      <c r="N29" s="481">
        <f>+VLOOKUP('Table A'!B29,TableC4d!B:P,10,0)</f>
        <v>7.3763069652034163E-2</v>
      </c>
      <c r="O29" s="482">
        <f t="shared" si="1"/>
        <v>-0.13623693034796583</v>
      </c>
    </row>
    <row r="30" spans="2:15" ht="33.5" x14ac:dyDescent="0.75">
      <c r="B30" s="477" t="str">
        <f>[3]TableA1!$A39</f>
        <v>Spain</v>
      </c>
      <c r="C30" s="662">
        <v>14.361632474553868</v>
      </c>
      <c r="D30" s="541">
        <v>14.693416683766145</v>
      </c>
      <c r="E30" s="541">
        <v>16.966936080942119</v>
      </c>
      <c r="F30" s="541">
        <v>23.051471472147938</v>
      </c>
      <c r="G30" s="662">
        <f>+VLOOKUP(B30,TableC4!B:X,2,0)/1000</f>
        <v>21.086367061165596</v>
      </c>
      <c r="H30" s="665">
        <f t="shared" si="0"/>
        <v>6.3929503773994512</v>
      </c>
      <c r="I30" s="479"/>
      <c r="J30" s="480">
        <v>0.14169133044555379</v>
      </c>
      <c r="K30" s="481">
        <v>0.13224191042325864</v>
      </c>
      <c r="L30" s="481">
        <v>0.13980941256858773</v>
      </c>
      <c r="M30" s="481">
        <v>0.16331544756941857</v>
      </c>
      <c r="N30" s="481">
        <f>+VLOOKUP('Table A'!B30,TableC4d!B:P,10,0)</f>
        <v>0.18310080120891367</v>
      </c>
      <c r="O30" s="482">
        <f t="shared" si="1"/>
        <v>4.1409470763359879E-2</v>
      </c>
    </row>
    <row r="31" spans="2:15" ht="33.5" x14ac:dyDescent="0.75">
      <c r="B31" s="477" t="str">
        <f>[3]TableA1!$A40</f>
        <v>Sweden</v>
      </c>
      <c r="C31" s="662">
        <v>8.5408289583551564</v>
      </c>
      <c r="D31" s="541">
        <v>10.304689557654912</v>
      </c>
      <c r="E31" s="541">
        <v>11.692139921421571</v>
      </c>
      <c r="F31" s="541">
        <v>13.688971672603801</v>
      </c>
      <c r="G31" s="662">
        <f>+VLOOKUP(B31,TableC4!B:X,2,0)/1000</f>
        <v>12.569265609721342</v>
      </c>
      <c r="H31" s="665">
        <f t="shared" si="0"/>
        <v>2.2645760520664293</v>
      </c>
      <c r="I31" s="479"/>
      <c r="J31" s="480">
        <v>0.12758674261005515</v>
      </c>
      <c r="K31" s="481">
        <v>0.16107413275695859</v>
      </c>
      <c r="L31" s="481">
        <v>0.17096716658491809</v>
      </c>
      <c r="M31" s="481">
        <v>0.18344971290170389</v>
      </c>
      <c r="N31" s="481">
        <f>+VLOOKUP('Table A'!B31,TableC4d!B:P,10,0)</f>
        <v>0.1674210940484315</v>
      </c>
      <c r="O31" s="482">
        <f t="shared" si="1"/>
        <v>3.9834351438376353E-2</v>
      </c>
    </row>
    <row r="32" spans="2:15" ht="33.5" x14ac:dyDescent="0.75">
      <c r="B32" s="477" t="str">
        <f>[3]TableA1!$A42</f>
        <v>Turkey</v>
      </c>
      <c r="C32" s="662">
        <v>4.6119434767300787</v>
      </c>
      <c r="D32" s="541">
        <v>3.8542467882708467</v>
      </c>
      <c r="E32" s="541">
        <v>3.7336596669225579</v>
      </c>
      <c r="F32" s="541">
        <v>5.0310525435229403</v>
      </c>
      <c r="G32" s="662">
        <f>+VLOOKUP(B32,TableC4!B:X,2,0)/1000</f>
        <v>5.7330069035430853</v>
      </c>
      <c r="H32" s="665">
        <f t="shared" si="0"/>
        <v>1.8787601152722386</v>
      </c>
      <c r="I32" s="479"/>
      <c r="J32" s="480">
        <v>7.5143595197188717E-2</v>
      </c>
      <c r="K32" s="481">
        <v>5.4179364073812152E-2</v>
      </c>
      <c r="L32" s="481">
        <v>5.1491143457959285E-2</v>
      </c>
      <c r="M32" s="481">
        <v>6.7929615878362229E-2</v>
      </c>
      <c r="N32" s="481">
        <f>+VLOOKUP('Table A'!B32,TableC4d!B:P,10,0)</f>
        <v>7.7407451704525204E-2</v>
      </c>
      <c r="O32" s="482">
        <f t="shared" si="1"/>
        <v>2.2638565073364869E-3</v>
      </c>
    </row>
    <row r="33" spans="2:15" ht="33.5" x14ac:dyDescent="0.75">
      <c r="B33" s="477" t="str">
        <f>[3]TableA1!$A43</f>
        <v>United Kingdom</v>
      </c>
      <c r="C33" s="662">
        <v>61.499020611120656</v>
      </c>
      <c r="D33" s="541">
        <v>80.524551152341473</v>
      </c>
      <c r="E33" s="541">
        <v>95.96795509404761</v>
      </c>
      <c r="F33" s="541">
        <v>120.07005754276821</v>
      </c>
      <c r="G33" s="662">
        <f>+VLOOKUP(B33,TableC4!B:X,2,0)/1000</f>
        <v>109.61243210146822</v>
      </c>
      <c r="H33" s="665">
        <f t="shared" si="0"/>
        <v>29.087880949126742</v>
      </c>
      <c r="I33" s="479"/>
      <c r="J33" s="480">
        <v>0.17522636389555327</v>
      </c>
      <c r="K33" s="481">
        <v>0.22317561806271471</v>
      </c>
      <c r="L33" s="481">
        <v>0.24587094687149039</v>
      </c>
      <c r="M33" s="481">
        <v>0.28033488376460547</v>
      </c>
      <c r="N33" s="481">
        <f>+VLOOKUP('Table A'!B33,TableC4d!B:P,10,0)</f>
        <v>0.3199088142842143</v>
      </c>
      <c r="O33" s="482">
        <f t="shared" si="1"/>
        <v>0.14468245038866104</v>
      </c>
    </row>
    <row r="34" spans="2:15" ht="33.5" x14ac:dyDescent="0.75">
      <c r="B34" s="483" t="str">
        <f>[3]TableA1!$A44</f>
        <v>United States</v>
      </c>
      <c r="C34" s="666">
        <v>142.04516052906811</v>
      </c>
      <c r="D34" s="525">
        <v>152.05962203909527</v>
      </c>
      <c r="E34" s="525">
        <v>161.89420535357644</v>
      </c>
      <c r="F34" s="525">
        <v>186.43815065854375</v>
      </c>
      <c r="G34" s="525">
        <f>+VLOOKUP(B34,TableC4!B:X,2,0)/1000</f>
        <v>165.28686205757737</v>
      </c>
      <c r="H34" s="667">
        <f t="shared" si="0"/>
        <v>13.227240018482092</v>
      </c>
      <c r="I34" s="488"/>
      <c r="J34" s="534">
        <v>0.14029437788441623</v>
      </c>
      <c r="K34" s="526">
        <v>0.16532883138134644</v>
      </c>
      <c r="L34" s="526">
        <v>0.19183214921944411</v>
      </c>
      <c r="M34" s="526">
        <v>0.23107460008173181</v>
      </c>
      <c r="N34" s="526">
        <f>+VLOOKUP('Table A'!B34,TableC4d!B:P,10,0)</f>
        <v>0.15559404460761039</v>
      </c>
      <c r="O34" s="542">
        <f t="shared" si="1"/>
        <v>1.5299666723194161E-2</v>
      </c>
    </row>
    <row r="35" spans="2:15" ht="40" customHeight="1" x14ac:dyDescent="0.75">
      <c r="B35" s="489" t="s">
        <v>67</v>
      </c>
      <c r="C35" s="668"/>
      <c r="D35" s="668"/>
      <c r="E35" s="668"/>
      <c r="F35" s="668"/>
      <c r="G35" s="669"/>
      <c r="H35" s="665"/>
      <c r="I35" s="489"/>
      <c r="J35" s="489"/>
      <c r="K35" s="538"/>
      <c r="L35" s="538"/>
      <c r="M35" s="538"/>
      <c r="N35" s="489"/>
      <c r="O35" s="482"/>
    </row>
    <row r="36" spans="2:15" ht="40" customHeight="1" x14ac:dyDescent="0.75">
      <c r="B36" s="540" t="s">
        <v>130</v>
      </c>
      <c r="C36" s="541"/>
      <c r="D36" s="541">
        <v>2.5066464933540349</v>
      </c>
      <c r="E36" s="541">
        <v>3.2134036449419985</v>
      </c>
      <c r="F36" s="541">
        <v>4.2585954838971034</v>
      </c>
      <c r="G36" s="662">
        <f>+VLOOKUP(B36,TableC4!B:X,2,0)/1000</f>
        <v>4.9287977089356723</v>
      </c>
      <c r="H36" s="665">
        <f t="shared" si="0"/>
        <v>2.4221512155816374</v>
      </c>
      <c r="I36" s="481"/>
      <c r="J36" s="489"/>
      <c r="K36" s="481">
        <f>+VLOOKUP(B36,[4]TableC4d!B:P,10,0)</f>
        <v>5.4871612016806438E-2</v>
      </c>
      <c r="L36" s="481">
        <v>7.034284193090054E-2</v>
      </c>
      <c r="M36" s="481">
        <v>8.9357910795109241E-2</v>
      </c>
      <c r="N36" s="481">
        <f>+VLOOKUP('Table A'!B36,TableC4d!B:P,10,0)</f>
        <v>0.12066811378707953</v>
      </c>
      <c r="O36" s="482"/>
    </row>
    <row r="37" spans="2:15" ht="33.5" x14ac:dyDescent="0.75">
      <c r="B37" s="477" t="str">
        <f>[3]TableA1!$A46</f>
        <v>Brazil</v>
      </c>
      <c r="C37" s="662">
        <v>13.243963816477239</v>
      </c>
      <c r="D37" s="662">
        <v>17.299110202379346</v>
      </c>
      <c r="E37" s="662">
        <v>19.674686249783527</v>
      </c>
      <c r="F37" s="662">
        <v>22.048522970538496</v>
      </c>
      <c r="G37" s="662">
        <f>+VLOOKUP(B37,TableC4!B:X,2,0)/1000</f>
        <v>26.816895550320552</v>
      </c>
      <c r="H37" s="665">
        <f t="shared" si="0"/>
        <v>9.5177853479412065</v>
      </c>
      <c r="I37" s="479"/>
      <c r="J37" s="480">
        <v>8.4122127915958592E-2</v>
      </c>
      <c r="K37" s="481">
        <v>0.10366864283168098</v>
      </c>
      <c r="L37" s="481">
        <v>0.11567973150402824</v>
      </c>
      <c r="M37" s="481">
        <v>0.14120006453000392</v>
      </c>
      <c r="N37" s="481">
        <f>+VLOOKUP('Table A'!B37,TableC4d!B:P,10,0)</f>
        <v>0.17331989683981694</v>
      </c>
      <c r="O37" s="482">
        <f t="shared" si="1"/>
        <v>8.9197768923858348E-2</v>
      </c>
    </row>
    <row r="38" spans="2:15" ht="33.5" x14ac:dyDescent="0.75">
      <c r="B38" s="477" t="str">
        <f>[3]TableA1!$A47</f>
        <v>China</v>
      </c>
      <c r="C38" s="662">
        <v>54.639167474834217</v>
      </c>
      <c r="D38" s="662">
        <v>50.425959162319145</v>
      </c>
      <c r="E38" s="662">
        <v>51.398595430071204</v>
      </c>
      <c r="F38" s="662">
        <v>71.190809491313814</v>
      </c>
      <c r="G38" s="662">
        <f>+VLOOKUP(B38,TableC4!B:X,2,0)/1000</f>
        <v>92.693313901633616</v>
      </c>
      <c r="H38" s="665">
        <f t="shared" si="0"/>
        <v>42.26735473931447</v>
      </c>
      <c r="I38" s="479"/>
      <c r="J38" s="480">
        <v>3.23734212127871E-2</v>
      </c>
      <c r="K38" s="481">
        <v>2.9024114590146977E-2</v>
      </c>
      <c r="L38" s="481">
        <v>2.7346777527327469E-2</v>
      </c>
      <c r="M38" s="481">
        <v>3.316150358841391E-2</v>
      </c>
      <c r="N38" s="481">
        <f>+VLOOKUP('Table A'!B38,TableC4d!B:P,10,0)</f>
        <v>4.3097816811950553E-2</v>
      </c>
      <c r="O38" s="482">
        <f t="shared" si="1"/>
        <v>1.0724395599163453E-2</v>
      </c>
    </row>
    <row r="39" spans="2:15" ht="33.5" x14ac:dyDescent="0.75">
      <c r="B39" s="477" t="str">
        <f>[3]TableA1!$A48</f>
        <v>Colombia</v>
      </c>
      <c r="C39" s="662">
        <v>1.3137022123411772</v>
      </c>
      <c r="D39" s="662">
        <v>0.98255214585218387</v>
      </c>
      <c r="E39" s="662">
        <v>1.3503492119174079</v>
      </c>
      <c r="F39" s="662">
        <v>1.9423504032263401</v>
      </c>
      <c r="G39" s="662">
        <f>+VLOOKUP(B39,TableC4!B:X,2,0)/1000</f>
        <v>2.2487628910587181</v>
      </c>
      <c r="H39" s="665">
        <f t="shared" si="0"/>
        <v>1.2662107452065343</v>
      </c>
      <c r="I39" s="479"/>
      <c r="J39" s="480">
        <v>1.9286039387400509E-2</v>
      </c>
      <c r="K39" s="481">
        <v>1.4974236041179142E-2</v>
      </c>
      <c r="L39" s="481">
        <v>2.4446608196856373E-2</v>
      </c>
      <c r="M39" s="481">
        <v>3.5450410572162215E-2</v>
      </c>
      <c r="N39" s="481">
        <f>+VLOOKUP('Table A'!B39,TableC4d!B:P,10,0)</f>
        <v>4.5073168581550159E-2</v>
      </c>
      <c r="O39" s="482">
        <f t="shared" si="1"/>
        <v>2.578712919414965E-2</v>
      </c>
    </row>
    <row r="40" spans="2:15" ht="33.5" x14ac:dyDescent="0.75">
      <c r="B40" s="477" t="str">
        <f>[3]TableA1!$A49</f>
        <v>Costa Rica</v>
      </c>
      <c r="C40" s="662">
        <v>0.98977563943513325</v>
      </c>
      <c r="D40" s="662">
        <v>0.89761837807842071</v>
      </c>
      <c r="E40" s="662">
        <v>1.1982115668392268</v>
      </c>
      <c r="F40" s="662">
        <v>1.6803789452398334</v>
      </c>
      <c r="G40" s="662">
        <f>+VLOOKUP(B40,TableC4!B:X,2,0)/1000</f>
        <v>1.9454645303416915</v>
      </c>
      <c r="H40" s="665">
        <f t="shared" si="0"/>
        <v>1.0478461522632707</v>
      </c>
      <c r="I40" s="479"/>
      <c r="J40" s="480">
        <v>0.19288603020104272</v>
      </c>
      <c r="K40" s="481">
        <v>0.17479942969577303</v>
      </c>
      <c r="L40" s="481">
        <v>0.2160457919689921</v>
      </c>
      <c r="M40" s="481">
        <v>0.28205793392825368</v>
      </c>
      <c r="N40" s="481">
        <f>+VLOOKUP('Table A'!B40,TableC4d!B:P,10,0)</f>
        <v>0.32395073300428356</v>
      </c>
      <c r="O40" s="482">
        <f t="shared" si="1"/>
        <v>0.13106470280324084</v>
      </c>
    </row>
    <row r="41" spans="2:15" ht="33.5" x14ac:dyDescent="0.75">
      <c r="B41" s="477" t="s">
        <v>175</v>
      </c>
      <c r="C41" s="541"/>
      <c r="D41" s="541">
        <v>3.0477276082685312</v>
      </c>
      <c r="E41" s="541">
        <v>3.3826290978669067</v>
      </c>
      <c r="F41" s="541">
        <v>4.6029398249029452</v>
      </c>
      <c r="G41" s="662">
        <f>+VLOOKUP(B41,TableC4!B:X,2,0)/1000</f>
        <v>5.5118256237841878</v>
      </c>
      <c r="H41" s="665">
        <f t="shared" si="0"/>
        <v>2.4640980155156567</v>
      </c>
      <c r="J41" s="480"/>
      <c r="K41" s="481">
        <f>+VLOOKUP(B41,[4]TableC4d!B:P,10,0)</f>
        <v>4.2385553188669371E-2</v>
      </c>
      <c r="L41" s="481">
        <v>4.7043116699865495E-2</v>
      </c>
      <c r="M41" s="481">
        <v>6.5436840449000944E-2</v>
      </c>
      <c r="N41" s="481">
        <f>+VLOOKUP('Table A'!B41,TableC4d!B:P,10,0)</f>
        <v>0.13378809260727195</v>
      </c>
      <c r="O41" s="482"/>
    </row>
    <row r="42" spans="2:15" ht="33.5" x14ac:dyDescent="0.75">
      <c r="B42" s="477" t="s">
        <v>198</v>
      </c>
      <c r="C42" s="541"/>
      <c r="D42" s="541">
        <v>7.0491383951542801</v>
      </c>
      <c r="E42" s="541">
        <v>7.47401146927188</v>
      </c>
      <c r="F42" s="541">
        <v>9.8893148800065518</v>
      </c>
      <c r="G42" s="662">
        <f>+VLOOKUP(B42,TableC4!B:X,2,0)/1000</f>
        <v>11.981150991337326</v>
      </c>
      <c r="H42" s="665">
        <f t="shared" si="0"/>
        <v>4.9320125961830463</v>
      </c>
      <c r="J42" s="480"/>
      <c r="K42" s="481">
        <f>+VLOOKUP(B42,[4]TableC4d!B:P,10,0)</f>
        <v>8.1955777944657957E-2</v>
      </c>
      <c r="L42" s="481">
        <v>8.6895502683355497E-2</v>
      </c>
      <c r="M42" s="481">
        <v>0.1149766750058083</v>
      </c>
      <c r="N42" s="481">
        <f>+VLOOKUP('Table A'!B42,TableC4d!B:P,10,0)</f>
        <v>0.13929710201780904</v>
      </c>
      <c r="O42" s="482"/>
    </row>
    <row r="43" spans="2:15" ht="33.5" x14ac:dyDescent="0.75">
      <c r="B43" s="477" t="str">
        <f>[3]TableA1!$A50</f>
        <v>India</v>
      </c>
      <c r="C43" s="662">
        <v>8.7497440301564922</v>
      </c>
      <c r="D43" s="662">
        <v>9.5888942578314591</v>
      </c>
      <c r="E43" s="662">
        <v>11.342488387653461</v>
      </c>
      <c r="F43" s="662">
        <v>15.647845307337617</v>
      </c>
      <c r="G43" s="662">
        <f>+VLOOKUP(B43,TableC4!B:X,2,0)/1000</f>
        <v>19.061769168729782</v>
      </c>
      <c r="H43" s="665">
        <f t="shared" si="0"/>
        <v>9.472874910898323</v>
      </c>
      <c r="I43" s="479"/>
      <c r="J43" s="480">
        <v>8.1017937685124219E-2</v>
      </c>
      <c r="K43" s="481">
        <v>4.5959234214588959E-2</v>
      </c>
      <c r="L43" s="481">
        <v>4.8820236674130865E-2</v>
      </c>
      <c r="M43" s="481">
        <v>6.2705117563161314E-2</v>
      </c>
      <c r="N43" s="481">
        <f>+VLOOKUP('Table A'!B43,TableC4d!B:P,10,0)</f>
        <v>6.2927193684744365E-2</v>
      </c>
      <c r="O43" s="482">
        <f t="shared" si="1"/>
        <v>-1.8090744000379855E-2</v>
      </c>
    </row>
    <row r="44" spans="2:15" ht="33.5" x14ac:dyDescent="0.75">
      <c r="B44" s="477" t="s">
        <v>222</v>
      </c>
      <c r="C44" s="541"/>
      <c r="D44" s="541">
        <v>3.7993174091326019</v>
      </c>
      <c r="E44" s="541">
        <v>4.2197800720963548</v>
      </c>
      <c r="F44" s="541">
        <v>5.8238400637294454</v>
      </c>
      <c r="G44" s="662">
        <f>+VLOOKUP(B44,TableC4!B:X,2,0)/1000</f>
        <v>7.0461835705219</v>
      </c>
      <c r="H44" s="665">
        <f t="shared" si="0"/>
        <v>3.2468661613892982</v>
      </c>
      <c r="J44" s="480"/>
      <c r="K44" s="481">
        <f>+VLOOKUP(B44,[4]TableC4d!B:P,10,0)</f>
        <v>5.2443068198808354E-2</v>
      </c>
      <c r="L44" s="481">
        <v>5.824683496382177E-2</v>
      </c>
      <c r="M44" s="481">
        <v>6.0974717294271508E-2</v>
      </c>
      <c r="N44" s="481">
        <f>+VLOOKUP('Table A'!B44,TableC4d!B:P,10,0)</f>
        <v>7.2420415671892113E-2</v>
      </c>
      <c r="O44" s="482"/>
    </row>
    <row r="45" spans="2:15" ht="33.5" x14ac:dyDescent="0.75">
      <c r="B45" s="477" t="s">
        <v>240</v>
      </c>
      <c r="C45" s="541"/>
      <c r="D45" s="541">
        <v>3.0835535605185651</v>
      </c>
      <c r="E45" s="541">
        <v>2.4012654170148671</v>
      </c>
      <c r="F45" s="541">
        <v>3.5098518099317317</v>
      </c>
      <c r="G45" s="662">
        <f>+VLOOKUP(B45,TableC4!B:X,2,0)/1000</f>
        <v>4.3027320508594249</v>
      </c>
      <c r="H45" s="665">
        <f t="shared" si="0"/>
        <v>1.2191784903408598</v>
      </c>
      <c r="J45" s="480"/>
      <c r="K45" s="481">
        <f>+VLOOKUP(B45,[4]TableC4d!B:P,10,0)</f>
        <v>0.23737902698372326</v>
      </c>
      <c r="L45" s="481">
        <v>0.18485492047843474</v>
      </c>
      <c r="M45" s="481">
        <v>0.25251943569943869</v>
      </c>
      <c r="N45" s="481">
        <f>+VLOOKUP('Table A'!B45,TableC4d!B:P,10,0)</f>
        <v>0.25620243719242025</v>
      </c>
      <c r="O45" s="482"/>
    </row>
    <row r="46" spans="2:15" ht="33.5" x14ac:dyDescent="0.75">
      <c r="B46" s="477" t="str">
        <f>[3]TableA1!$A51</f>
        <v>Russia</v>
      </c>
      <c r="C46" s="662">
        <v>11.347828990193646</v>
      </c>
      <c r="D46" s="662">
        <v>12.722952388815417</v>
      </c>
      <c r="E46" s="662">
        <v>13.845451426228143</v>
      </c>
      <c r="F46" s="662">
        <v>17.339638156059689</v>
      </c>
      <c r="G46" s="662">
        <f>+VLOOKUP(B46,TableC4!B:X,2,0)/1000</f>
        <v>20.34313851126101</v>
      </c>
      <c r="H46" s="665">
        <f t="shared" si="0"/>
        <v>7.6201861224455936</v>
      </c>
      <c r="I46" s="479"/>
      <c r="J46" s="480">
        <v>5.404894525547628E-2</v>
      </c>
      <c r="K46" s="481">
        <v>6.199448946601567E-2</v>
      </c>
      <c r="L46" s="481">
        <v>4.8753134522671999E-2</v>
      </c>
      <c r="M46" s="481">
        <v>5.4031855017291776E-2</v>
      </c>
      <c r="N46" s="481">
        <f>+VLOOKUP('Table A'!B46,TableC4d!B:P,10,0)</f>
        <v>5.7428604691060495E-2</v>
      </c>
      <c r="O46" s="482">
        <f t="shared" si="1"/>
        <v>3.3796594355842147E-3</v>
      </c>
    </row>
    <row r="47" spans="2:15" ht="33.5" x14ac:dyDescent="0.75">
      <c r="B47" s="477" t="str">
        <f>[3]TableA1!$A50</f>
        <v>India</v>
      </c>
      <c r="C47" s="662">
        <v>3.8269074924636528</v>
      </c>
      <c r="D47" s="662">
        <v>4.0246001063345211</v>
      </c>
      <c r="E47" s="662">
        <v>11.342488387653461</v>
      </c>
      <c r="F47" s="662">
        <v>15.647845307337617</v>
      </c>
      <c r="G47" s="662">
        <f>+VLOOKUP(B47,TableC4!B:X,2,0)/1000</f>
        <v>19.061769168729782</v>
      </c>
      <c r="H47" s="665">
        <f t="shared" si="0"/>
        <v>15.037169062395261</v>
      </c>
      <c r="I47" s="479"/>
      <c r="J47" s="480">
        <v>5.7036451351329766E-2</v>
      </c>
      <c r="K47" s="481">
        <v>6.9288625315652164E-2</v>
      </c>
      <c r="L47" s="481">
        <v>4.8820236674130865E-2</v>
      </c>
      <c r="M47" s="481">
        <v>6.2705117563161314E-2</v>
      </c>
      <c r="N47" s="481">
        <f>+VLOOKUP('Table A'!B47,TableC4d!B:P,10,0)</f>
        <v>6.2927193684744365E-2</v>
      </c>
      <c r="O47" s="482">
        <f t="shared" si="1"/>
        <v>5.8907423334145989E-3</v>
      </c>
    </row>
    <row r="48" spans="2:15" ht="33.5" x14ac:dyDescent="0.75">
      <c r="B48" s="477" t="s">
        <v>76</v>
      </c>
      <c r="C48" s="662">
        <v>3.8269074924636528</v>
      </c>
      <c r="D48" s="662">
        <v>4.0246001063345211</v>
      </c>
      <c r="E48" s="662">
        <v>5.0403092492108073</v>
      </c>
      <c r="F48" s="662">
        <v>6.7595844814691661</v>
      </c>
      <c r="G48" s="662">
        <f>+VLOOKUP(B48,TableC4!B:X,2,0)/1000</f>
        <v>7.917354736510867</v>
      </c>
      <c r="H48" s="665">
        <f>+G48-D48</f>
        <v>3.8927546301763458</v>
      </c>
      <c r="I48" s="479"/>
      <c r="J48" s="480">
        <v>5.7036451351329766E-2</v>
      </c>
      <c r="K48" s="481">
        <v>6.9288625315652164E-2</v>
      </c>
      <c r="L48" s="481">
        <v>7.5515786324574147E-2</v>
      </c>
      <c r="M48" s="481">
        <v>0.10227173352876283</v>
      </c>
      <c r="N48" s="481">
        <f>+VLOOKUP('Table A'!B48,TableC4d!B:P,10,0)</f>
        <v>0.13153414178601369</v>
      </c>
      <c r="O48" s="482">
        <f t="shared" si="1"/>
        <v>7.4497690434683933E-2</v>
      </c>
    </row>
    <row r="49" spans="2:15" ht="33.5" x14ac:dyDescent="0.75">
      <c r="B49" s="477" t="s">
        <v>267</v>
      </c>
      <c r="C49" s="541"/>
      <c r="D49" s="541">
        <v>4.7138668993359119</v>
      </c>
      <c r="E49" s="541">
        <v>6.4109092825838001</v>
      </c>
      <c r="F49" s="541">
        <v>8.932603885297425</v>
      </c>
      <c r="G49" s="662">
        <f>+VLOOKUP(B49,TableC4!B:X,2,0)/1000</f>
        <v>10.989429638627405</v>
      </c>
      <c r="H49" s="665">
        <f t="shared" si="0"/>
        <v>6.2755627392914928</v>
      </c>
      <c r="I49" s="481"/>
      <c r="J49" s="480"/>
      <c r="K49" s="481">
        <f>+VLOOKUP(B49,[4]TableC4d!B:P,10,0)</f>
        <v>5.4628617471686403E-2</v>
      </c>
      <c r="L49" s="481">
        <v>7.4295502678128802E-2</v>
      </c>
      <c r="M49" s="481">
        <v>8.3299565208812321E-2</v>
      </c>
      <c r="N49" s="481">
        <f>+VLOOKUP('Table A'!B49,TableC4d!B:P,10,0)</f>
        <v>9.3033941276598642E-2</v>
      </c>
      <c r="O49" s="482"/>
    </row>
    <row r="50" spans="2:15" ht="33.5" x14ac:dyDescent="0.75">
      <c r="B50" s="477" t="s">
        <v>277</v>
      </c>
      <c r="C50" s="541"/>
      <c r="D50" s="541">
        <v>0.99864652590911351</v>
      </c>
      <c r="E50" s="541">
        <v>0.92038365061890415</v>
      </c>
      <c r="F50" s="541">
        <v>1.4574461120011153</v>
      </c>
      <c r="G50" s="662">
        <f>+VLOOKUP(B50,TableC4!B:X,2,0)/1000</f>
        <v>1.7215122027295298</v>
      </c>
      <c r="H50" s="665">
        <f t="shared" si="0"/>
        <v>0.72286567682041625</v>
      </c>
      <c r="I50" s="481"/>
      <c r="J50" s="480"/>
      <c r="K50" s="481">
        <f>+VLOOKUP(B50,[4]TableC4d!B:P,10,0)</f>
        <v>0.15775883221374162</v>
      </c>
      <c r="L50" s="481">
        <v>0.14539543886970191</v>
      </c>
      <c r="M50" s="481">
        <v>0.22498535217894447</v>
      </c>
      <c r="N50" s="481">
        <f>+VLOOKUP('Table A'!B50,TableC4d!B:P,10,0)</f>
        <v>0.26128649526902981</v>
      </c>
      <c r="O50" s="482"/>
    </row>
    <row r="51" spans="2:15" ht="33.5" x14ac:dyDescent="0.75">
      <c r="B51" s="524" t="s">
        <v>280</v>
      </c>
      <c r="C51" s="525"/>
      <c r="D51" s="525">
        <v>0.86853229889627548</v>
      </c>
      <c r="E51" s="525">
        <v>0.85443130810770185</v>
      </c>
      <c r="F51" s="525">
        <v>0.92384376637388443</v>
      </c>
      <c r="G51" s="525">
        <f>+VLOOKUP(B51,TableC4!B:X,2,0)/1000</f>
        <v>1.1171867006285463</v>
      </c>
      <c r="H51" s="667">
        <f t="shared" si="0"/>
        <v>0.24865440173227082</v>
      </c>
      <c r="I51" s="526"/>
      <c r="J51" s="534"/>
      <c r="K51" s="526">
        <f>+VLOOKUP(B51,[4]TableC4d!B:P,10,0)</f>
        <v>0.15477261957535013</v>
      </c>
      <c r="L51" s="526">
        <v>0.15225982035564478</v>
      </c>
      <c r="M51" s="526">
        <v>0.16462913351840691</v>
      </c>
      <c r="N51" s="526">
        <f>+VLOOKUP('Table A'!B51,TableC4d!B:P,10,0)</f>
        <v>0.19908288089084908</v>
      </c>
      <c r="O51" s="542"/>
    </row>
    <row r="52" spans="2:15" ht="39" customHeight="1" x14ac:dyDescent="0.75">
      <c r="B52" s="489" t="s">
        <v>430</v>
      </c>
      <c r="D52" s="538"/>
      <c r="E52" s="538"/>
      <c r="F52" s="538"/>
      <c r="G52" s="489"/>
      <c r="H52" s="479"/>
      <c r="I52" s="489"/>
      <c r="J52" s="489"/>
      <c r="K52" s="538"/>
      <c r="L52" s="538"/>
      <c r="M52" s="538"/>
      <c r="N52" s="489"/>
      <c r="O52" s="482"/>
    </row>
    <row r="53" spans="2:15" ht="33.5" x14ac:dyDescent="0.75">
      <c r="B53" s="477" t="str">
        <f>[3]TableA1!$A12</f>
        <v>Belgium</v>
      </c>
      <c r="C53" s="662">
        <v>-13.106870602869716</v>
      </c>
      <c r="D53" s="541">
        <v>-15.192705534701314</v>
      </c>
      <c r="E53" s="541">
        <v>-20.479377251676514</v>
      </c>
      <c r="F53" s="541">
        <v>-45.682721095351404</v>
      </c>
      <c r="G53" s="662">
        <f>-VLOOKUP(B53,'Table U1'!B:AD,29,0)</f>
        <v>-37.791677057477301</v>
      </c>
      <c r="H53" s="665">
        <f t="shared" si="0"/>
        <v>-22.598971522775987</v>
      </c>
      <c r="I53" s="479"/>
      <c r="J53" s="480">
        <v>0.15960156624970104</v>
      </c>
      <c r="K53" s="481">
        <v>0.15982348373090668</v>
      </c>
      <c r="L53" s="481">
        <v>0.19445774402687543</v>
      </c>
      <c r="M53" s="481">
        <v>0.54570568460035995</v>
      </c>
      <c r="N53" s="544">
        <f>+VLOOKUP(B53,[5]Winners!$B:$C,2,0)</f>
        <v>0.38099988981652727</v>
      </c>
      <c r="O53" s="482">
        <f t="shared" ref="O53:O58" si="2">+N53-K53</f>
        <v>0.22117640608562059</v>
      </c>
    </row>
    <row r="54" spans="2:15" ht="33.5" x14ac:dyDescent="0.75">
      <c r="B54" s="477" t="str">
        <f>[3]TableA1!$A24</f>
        <v>Ireland</v>
      </c>
      <c r="C54" s="662">
        <v>-106.3289638729139</v>
      </c>
      <c r="D54" s="541">
        <v>-117.10866791238698</v>
      </c>
      <c r="E54" s="541">
        <v>-126.22930473650742</v>
      </c>
      <c r="F54" s="541">
        <v>-126.35089343657603</v>
      </c>
      <c r="G54" s="662">
        <f>-VLOOKUP(B54,'Table U1'!B:AD,29,0)</f>
        <v>-129.63720392653448</v>
      </c>
      <c r="H54" s="665">
        <f t="shared" si="0"/>
        <v>-12.528536014147505</v>
      </c>
      <c r="I54" s="479"/>
      <c r="J54" s="480">
        <v>0.57743248093138921</v>
      </c>
      <c r="K54" s="481">
        <v>0.65241785852860124</v>
      </c>
      <c r="L54" s="481">
        <v>0.67058288355333406</v>
      </c>
      <c r="M54" s="481">
        <v>0.60747856505324593</v>
      </c>
      <c r="N54" s="544">
        <f>+VLOOKUP(B54,[5]Winners!$B:$C,2,0)</f>
        <v>0.58715851999286683</v>
      </c>
      <c r="O54" s="482">
        <f t="shared" si="2"/>
        <v>-6.5259338535734401E-2</v>
      </c>
    </row>
    <row r="55" spans="2:15" ht="33.5" x14ac:dyDescent="0.75">
      <c r="B55" s="477" t="str">
        <f>[3]TableA1!$A30</f>
        <v>Luxembourg</v>
      </c>
      <c r="C55" s="662">
        <v>-46.799572185855702</v>
      </c>
      <c r="D55" s="541">
        <v>-50.117882746865448</v>
      </c>
      <c r="E55" s="541">
        <v>-66.046640961219012</v>
      </c>
      <c r="F55" s="541">
        <v>-56.739639855707097</v>
      </c>
      <c r="G55" s="662">
        <f>-VLOOKUP(B55,'Table U1'!B:AD,29,0)</f>
        <v>-64.368989030930351</v>
      </c>
      <c r="H55" s="665">
        <f t="shared" si="0"/>
        <v>-14.251106284064903</v>
      </c>
      <c r="I55" s="479"/>
      <c r="J55" s="480">
        <v>0.50414994247910705</v>
      </c>
      <c r="K55" s="481">
        <v>0.54442721446050479</v>
      </c>
      <c r="L55" s="481">
        <v>0.58366520009359735</v>
      </c>
      <c r="M55" s="481">
        <v>0.48629563642650425</v>
      </c>
      <c r="N55" s="544">
        <f>+VLOOKUP(B55,[5]Winners!$B:$C,2,0)</f>
        <v>0.56467834815512141</v>
      </c>
      <c r="O55" s="482">
        <f t="shared" si="2"/>
        <v>2.0251133694616619E-2</v>
      </c>
    </row>
    <row r="56" spans="2:15" ht="33.5" x14ac:dyDescent="0.75">
      <c r="B56" s="477" t="s">
        <v>109</v>
      </c>
      <c r="C56" s="662">
        <v>-12.327426958163089</v>
      </c>
      <c r="D56" s="541">
        <v>-10.806938685798682</v>
      </c>
      <c r="E56" s="541">
        <v>-11.134471187055922</v>
      </c>
      <c r="F56" s="541">
        <v>-12.429663563214918</v>
      </c>
      <c r="G56" s="662">
        <f>-VLOOKUP(B56,'Table U1'!B:AD,29,0)</f>
        <v>-10.190285119350621</v>
      </c>
      <c r="H56" s="665">
        <f t="shared" si="0"/>
        <v>0.61665356644806124</v>
      </c>
      <c r="I56" s="479"/>
      <c r="J56" s="480">
        <v>0.90334015105889631</v>
      </c>
      <c r="K56" s="481">
        <v>0.88451333344260097</v>
      </c>
      <c r="L56" s="481">
        <v>0.88338002380381042</v>
      </c>
      <c r="M56" s="481">
        <v>0.36203304107732881</v>
      </c>
      <c r="N56" s="544">
        <f>+VLOOKUP(B56,[5]Winners!$B:$C,2,0)</f>
        <v>0.2895980121960548</v>
      </c>
      <c r="O56" s="482">
        <f t="shared" si="2"/>
        <v>-0.59491532124654611</v>
      </c>
    </row>
    <row r="57" spans="2:15" ht="33.5" x14ac:dyDescent="0.75">
      <c r="B57" s="477" t="str">
        <f>[3]TableA1!$A32</f>
        <v>Netherlands</v>
      </c>
      <c r="C57" s="662">
        <v>-57.353364287520073</v>
      </c>
      <c r="D57" s="541">
        <v>-90.260495714647661</v>
      </c>
      <c r="E57" s="541">
        <v>-79.347163635666789</v>
      </c>
      <c r="F57" s="541">
        <v>-105.87643766221456</v>
      </c>
      <c r="G57" s="662">
        <f>-VLOOKUP(B57,'Table U1'!B:AD,29,0)</f>
        <v>-110.92945067541058</v>
      </c>
      <c r="H57" s="665">
        <f t="shared" si="0"/>
        <v>-20.668954960762917</v>
      </c>
      <c r="I57" s="479"/>
      <c r="J57" s="480">
        <v>0.3179544298480857</v>
      </c>
      <c r="K57" s="481">
        <v>0.29776033797420337</v>
      </c>
      <c r="L57" s="481">
        <v>0.38504967140640162</v>
      </c>
      <c r="M57" s="481">
        <v>0.27844061130636544</v>
      </c>
      <c r="N57" s="544">
        <f>+VLOOKUP(B57,[5]Winners!$B:$C,2,0)</f>
        <v>0.1936603197743251</v>
      </c>
      <c r="O57" s="482">
        <f t="shared" si="2"/>
        <v>-0.10410001819987827</v>
      </c>
    </row>
    <row r="58" spans="2:15" ht="33.5" x14ac:dyDescent="0.75">
      <c r="B58" s="477" t="s">
        <v>351</v>
      </c>
      <c r="C58" s="662">
        <v>-96.73216830648569</v>
      </c>
      <c r="D58" s="541">
        <v>-92.831696200459518</v>
      </c>
      <c r="E58" s="541">
        <v>-94.970829790556067</v>
      </c>
      <c r="F58" s="541">
        <v>-110.02878774772149</v>
      </c>
      <c r="G58" s="662">
        <f>-('Table U1'!AD54+'Table U1'!AD55+'Table U1'!AD56+'Table U1'!AD57+'Table U1'!AD59+'Table U1'!AD60+'Table U1'!AD62+'Table U1'!AD63+'Table U1'!AD64+'Table U1'!AD65+'Table U1'!AD68+'Table U1'!AD77+'Table U1'!AD83+'Table U1'!AD84)</f>
        <v>-159.21674364819725</v>
      </c>
      <c r="H58" s="665">
        <f t="shared" si="0"/>
        <v>-66.385047447737733</v>
      </c>
      <c r="I58" s="479"/>
      <c r="J58" s="480">
        <v>1</v>
      </c>
      <c r="K58" s="539">
        <v>1</v>
      </c>
      <c r="L58" s="539">
        <v>1</v>
      </c>
      <c r="M58" s="539">
        <v>1</v>
      </c>
      <c r="N58" s="480">
        <v>1</v>
      </c>
      <c r="O58" s="482">
        <f t="shared" si="2"/>
        <v>0</v>
      </c>
    </row>
    <row r="59" spans="2:15" ht="33.5" x14ac:dyDescent="0.75">
      <c r="B59" s="477" t="s">
        <v>88</v>
      </c>
      <c r="C59" s="662">
        <v>-23.950680817428665</v>
      </c>
      <c r="D59" s="541">
        <v>-17.258353679835029</v>
      </c>
      <c r="E59" s="541">
        <v>-12.771565610104329</v>
      </c>
      <c r="F59" s="541">
        <v>-84.366812420237594</v>
      </c>
      <c r="G59" s="662">
        <f>-VLOOKUP(B59,'Table U1'!B:AD,29,0)</f>
        <v>-58.45898700470449</v>
      </c>
      <c r="H59" s="665">
        <f t="shared" si="0"/>
        <v>-41.200633324869457</v>
      </c>
      <c r="I59" s="479"/>
      <c r="J59" s="480"/>
      <c r="K59" s="481"/>
      <c r="L59" s="481"/>
      <c r="M59" s="481"/>
      <c r="N59" s="544"/>
      <c r="O59" s="482"/>
    </row>
    <row r="60" spans="2:15" ht="33.5" x14ac:dyDescent="0.75">
      <c r="B60" s="477" t="s">
        <v>116</v>
      </c>
      <c r="C60" s="662">
        <v>-70.416271670151048</v>
      </c>
      <c r="D60" s="541">
        <v>-77.589599684007553</v>
      </c>
      <c r="E60" s="541">
        <v>-97.969159320480998</v>
      </c>
      <c r="F60" s="541">
        <v>-132.31317880061394</v>
      </c>
      <c r="G60" s="662">
        <f>-VLOOKUP(B60,'Table U1'!B:AD,29,0)</f>
        <v>-132.31317880061394</v>
      </c>
      <c r="H60" s="665">
        <f t="shared" si="0"/>
        <v>-54.723579116606388</v>
      </c>
      <c r="I60" s="479"/>
      <c r="J60" s="480">
        <v>0.40851319960697152</v>
      </c>
      <c r="K60" s="481">
        <v>0.42316017465274142</v>
      </c>
      <c r="L60" s="481">
        <v>0.29863635783858017</v>
      </c>
      <c r="M60" s="481">
        <v>0.36605622226648715</v>
      </c>
      <c r="N60" s="544">
        <f>+VLOOKUP(B60,[5]Winners!$B:$C,2,0)</f>
        <v>0.29050537256504005</v>
      </c>
      <c r="O60" s="482">
        <f>+N60-K60</f>
        <v>-0.13265480208770136</v>
      </c>
    </row>
    <row r="61" spans="2:15" ht="33.5" x14ac:dyDescent="0.75">
      <c r="B61" s="477" t="s">
        <v>122</v>
      </c>
      <c r="C61" s="662">
        <v>-41.683062581236264</v>
      </c>
      <c r="D61" s="541">
        <v>-38.320224000000003</v>
      </c>
      <c r="E61" s="541">
        <v>-38.320224000000003</v>
      </c>
      <c r="F61" s="541">
        <v>-36.364773497619588</v>
      </c>
      <c r="G61" s="662">
        <f>-VLOOKUP(B61,'Table U1'!B:AD,29,0)</f>
        <v>-31.860287999999997</v>
      </c>
      <c r="H61" s="665">
        <f t="shared" si="0"/>
        <v>6.4599360000000061</v>
      </c>
      <c r="I61" s="479"/>
      <c r="J61" s="480">
        <v>0.78997808122227953</v>
      </c>
      <c r="K61" s="481">
        <v>0.24833101987659711</v>
      </c>
      <c r="L61" s="481">
        <v>0.35389958884254258</v>
      </c>
      <c r="M61" s="481">
        <v>0.72389352679814134</v>
      </c>
      <c r="N61" s="544">
        <f>+VLOOKUP(B61,[5]Winners!$B:$C,2,0)</f>
        <v>0.29648825031955883</v>
      </c>
      <c r="O61" s="482">
        <f>+N61-K61</f>
        <v>4.8157230442961718E-2</v>
      </c>
    </row>
    <row r="62" spans="2:15" ht="33.5" x14ac:dyDescent="0.75">
      <c r="B62" s="477" t="s">
        <v>328</v>
      </c>
      <c r="C62" s="662">
        <v>-39.035168909870336</v>
      </c>
      <c r="D62" s="541">
        <v>-18.192616409335663</v>
      </c>
      <c r="E62" s="541">
        <v>-18.293182977898841</v>
      </c>
      <c r="F62" s="541">
        <v>-42.854588539678375</v>
      </c>
      <c r="G62" s="662">
        <f>-VLOOKUP(B62,'Table U1'!B:AD,29,0)</f>
        <v>-62.408223491229137</v>
      </c>
      <c r="H62" s="665">
        <f t="shared" si="0"/>
        <v>-44.215607081893474</v>
      </c>
      <c r="I62" s="479"/>
      <c r="J62" s="480">
        <v>0.33038854240582904</v>
      </c>
      <c r="K62" s="481">
        <v>0.23991171942754524</v>
      </c>
      <c r="L62" s="481">
        <v>0.23991171942754527</v>
      </c>
      <c r="M62" s="481">
        <v>0.56203002147497949</v>
      </c>
      <c r="N62" s="544">
        <f>+VLOOKUP(B62,[5]Winners!$B:$C,2,0)</f>
        <v>0.40479447021325571</v>
      </c>
      <c r="O62" s="482">
        <f>+N62-K62</f>
        <v>0.16488275078571046</v>
      </c>
    </row>
    <row r="63" spans="2:15" ht="33.5" x14ac:dyDescent="0.75">
      <c r="B63" s="477" t="s">
        <v>63</v>
      </c>
      <c r="C63" s="662">
        <v>-58.152724672949248</v>
      </c>
      <c r="D63" s="541">
        <v>-73.171682606348682</v>
      </c>
      <c r="E63" s="541">
        <v>-97.986624525658129</v>
      </c>
      <c r="F63" s="541">
        <v>-102.30096823782171</v>
      </c>
      <c r="G63" s="662">
        <f>-VLOOKUP(B63,'Table U1'!B:AD,29,0)</f>
        <v>-111.87421101719627</v>
      </c>
      <c r="H63" s="665">
        <f t="shared" si="0"/>
        <v>-38.702528410847592</v>
      </c>
      <c r="I63" s="479"/>
      <c r="J63" s="480">
        <v>0.20104419648279911</v>
      </c>
      <c r="K63" s="481">
        <v>0.27874646527161934</v>
      </c>
      <c r="L63" s="481">
        <v>0.37762441871839869</v>
      </c>
      <c r="M63" s="481">
        <v>0.38685934106244052</v>
      </c>
      <c r="N63" s="544">
        <f>+VLOOKUP(B63,[5]Winners!$B:$C,2,0)</f>
        <v>0.39353907427626916</v>
      </c>
      <c r="O63" s="482">
        <f>+N63-K63</f>
        <v>0.11479260900464983</v>
      </c>
    </row>
    <row r="64" spans="2:15" ht="34" thickBot="1" x14ac:dyDescent="0.8">
      <c r="B64" s="485" t="s">
        <v>364</v>
      </c>
      <c r="C64" s="670">
        <v>-50.575354983473517</v>
      </c>
      <c r="D64" s="670">
        <v>-66.031169106786706</v>
      </c>
      <c r="E64" s="670">
        <v>-77.790497891359905</v>
      </c>
      <c r="F64" s="670">
        <v>-90.897942769131191</v>
      </c>
      <c r="G64" s="670">
        <f>-('Alternative Table 1'!G5+SUM(G53:G63))</f>
        <v>-60.16950283443407</v>
      </c>
      <c r="H64" s="670">
        <f t="shared" si="0"/>
        <v>5.861666272352636</v>
      </c>
      <c r="I64" s="486"/>
      <c r="J64" s="486"/>
      <c r="K64" s="486"/>
      <c r="L64" s="486"/>
      <c r="M64" s="486"/>
      <c r="N64" s="486"/>
      <c r="O64" s="543"/>
    </row>
    <row r="65" ht="16" thickTop="1" x14ac:dyDescent="0.35"/>
  </sheetData>
  <mergeCells count="3">
    <mergeCell ref="J2:O2"/>
    <mergeCell ref="B4:O4"/>
    <mergeCell ref="B2:H2"/>
  </mergeCells>
  <printOptions horizontalCentered="1"/>
  <pageMargins left="0.25" right="0.25" top="0.75" bottom="0.75" header="0.3" footer="0.3"/>
  <pageSetup scale="26"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8737-AA4A-44F2-9754-5D90F809FBE6}">
  <sheetPr>
    <pageSetUpPr fitToPage="1"/>
  </sheetPr>
  <dimension ref="B1:AD65"/>
  <sheetViews>
    <sheetView zoomScale="50" zoomScaleNormal="50" zoomScalePageLayoutView="50" workbookViewId="0">
      <pane xSplit="2" ySplit="3" topLeftCell="C48" activePane="bottomRight" state="frozen"/>
      <selection activeCell="H64" sqref="B2:O64"/>
      <selection pane="topRight" activeCell="H64" sqref="B2:O64"/>
      <selection pane="bottomLeft" activeCell="H64" sqref="B2:O64"/>
      <selection pane="bottomRight" activeCell="H64" sqref="B2:O64"/>
    </sheetView>
  </sheetViews>
  <sheetFormatPr defaultColWidth="11.81640625" defaultRowHeight="15.5" outlineLevelCol="1" x14ac:dyDescent="0.35"/>
  <cols>
    <col min="1" max="1" width="11.81640625" style="473"/>
    <col min="2" max="2" width="58.1796875" style="473" bestFit="1" customWidth="1"/>
    <col min="3" max="3" width="16.36328125" style="473" hidden="1" customWidth="1" outlineLevel="1"/>
    <col min="4" max="9" width="17.453125" style="473" hidden="1" customWidth="1" outlineLevel="1"/>
    <col min="10" max="10" width="22.1796875" style="473" customWidth="1" collapsed="1"/>
    <col min="11" max="15" width="22.1796875" style="473" customWidth="1"/>
    <col min="16" max="16384" width="11.81640625" style="473"/>
  </cols>
  <sheetData>
    <row r="1" spans="2:30" ht="16" thickBot="1" x14ac:dyDescent="0.4">
      <c r="B1" s="472"/>
      <c r="C1" s="472"/>
      <c r="D1" s="472"/>
      <c r="E1" s="472"/>
      <c r="F1" s="472"/>
      <c r="G1" s="472"/>
      <c r="H1" s="472"/>
      <c r="I1" s="472"/>
      <c r="J1" s="472"/>
      <c r="K1" s="472"/>
      <c r="L1" s="472"/>
      <c r="M1" s="472"/>
      <c r="N1" s="472"/>
      <c r="O1" s="472"/>
    </row>
    <row r="2" spans="2:30" ht="114.5" customHeight="1" thickTop="1" x14ac:dyDescent="0.35">
      <c r="B2" s="549" t="s">
        <v>444</v>
      </c>
      <c r="C2" s="549"/>
      <c r="D2" s="549"/>
      <c r="E2" s="549"/>
      <c r="F2" s="549"/>
      <c r="G2" s="549"/>
      <c r="H2" s="549"/>
      <c r="I2" s="549"/>
      <c r="J2" s="549"/>
      <c r="K2" s="549"/>
      <c r="L2" s="549"/>
      <c r="M2" s="549"/>
      <c r="N2" s="549"/>
      <c r="O2" s="549"/>
    </row>
    <row r="3" spans="2:30" s="476" customFormat="1" ht="124" customHeight="1" x14ac:dyDescent="0.35">
      <c r="B3" s="474"/>
      <c r="C3" s="475">
        <v>2015</v>
      </c>
      <c r="D3" s="475">
        <v>2016</v>
      </c>
      <c r="E3" s="475">
        <v>2017</v>
      </c>
      <c r="F3" s="475">
        <v>2018</v>
      </c>
      <c r="G3" s="475">
        <v>2019</v>
      </c>
      <c r="H3" s="475" t="s">
        <v>448</v>
      </c>
      <c r="I3" s="475"/>
      <c r="J3" s="475">
        <v>2015</v>
      </c>
      <c r="K3" s="475">
        <v>2016</v>
      </c>
      <c r="L3" s="475">
        <v>2017</v>
      </c>
      <c r="M3" s="475">
        <v>2018</v>
      </c>
      <c r="N3" s="475">
        <v>2019</v>
      </c>
      <c r="O3" s="475" t="s">
        <v>448</v>
      </c>
    </row>
    <row r="4" spans="2:30" ht="40" customHeight="1" x14ac:dyDescent="0.35">
      <c r="B4" s="550" t="s">
        <v>31</v>
      </c>
      <c r="C4" s="550"/>
      <c r="D4" s="550"/>
      <c r="E4" s="550"/>
      <c r="F4" s="550"/>
      <c r="G4" s="550"/>
      <c r="H4" s="550"/>
      <c r="I4" s="550"/>
      <c r="J4" s="550"/>
      <c r="K4" s="550"/>
      <c r="L4" s="550"/>
      <c r="M4" s="550"/>
      <c r="N4" s="550"/>
      <c r="O4" s="550"/>
    </row>
    <row r="5" spans="2:30" ht="33.5" x14ac:dyDescent="0.75">
      <c r="B5" s="477" t="str">
        <f>[3]TableA1!$A10</f>
        <v>Australia</v>
      </c>
      <c r="C5" s="478">
        <v>12.001898115930068</v>
      </c>
      <c r="D5" s="537">
        <v>15.186733460463564</v>
      </c>
      <c r="E5" s="537">
        <v>17.849382170851936</v>
      </c>
      <c r="F5" s="537">
        <v>25.238981043193291</v>
      </c>
      <c r="G5" s="478">
        <f>+VLOOKUP(B5,TableC4!B:X,2,0)/1000</f>
        <v>30.237660882699593</v>
      </c>
      <c r="H5" s="479">
        <f>+G5-D5</f>
        <v>15.050927422236029</v>
      </c>
      <c r="I5" s="479"/>
      <c r="J5" s="480">
        <v>6.7825450297755593E-2</v>
      </c>
      <c r="K5" s="481">
        <v>7.6390651124448358E-2</v>
      </c>
      <c r="L5" s="481">
        <v>7.1643328997565092E-2</v>
      </c>
      <c r="M5" s="481">
        <v>9.7649461332347171E-2</v>
      </c>
      <c r="N5" s="481">
        <f>+VLOOKUP('Table B'!B5,TableC4d!B:P,10,0)</f>
        <v>0.13796919947353922</v>
      </c>
      <c r="O5" s="482">
        <f>+N5-J5</f>
        <v>7.0143749175783629E-2</v>
      </c>
      <c r="Y5" s="490"/>
      <c r="AC5" s="490"/>
      <c r="AD5" s="490"/>
    </row>
    <row r="6" spans="2:30" ht="33.5" x14ac:dyDescent="0.75">
      <c r="B6" s="477" t="str">
        <f>[3]TableA1!$A11</f>
        <v>Austria</v>
      </c>
      <c r="C6" s="478">
        <v>3.5893290717257158</v>
      </c>
      <c r="D6" s="537">
        <v>4.2614494996265204</v>
      </c>
      <c r="E6" s="537">
        <v>4.4348782901527635</v>
      </c>
      <c r="F6" s="537">
        <v>5.2946008016717476</v>
      </c>
      <c r="G6" s="478">
        <f>+VLOOKUP(B6,TableC4!B:X,2,0)/1000</f>
        <v>4.7184182275650439</v>
      </c>
      <c r="H6" s="479">
        <f t="shared" ref="H6:H64" si="0">+G6-D6</f>
        <v>0.4569687279385235</v>
      </c>
      <c r="I6" s="479"/>
      <c r="J6" s="480">
        <v>0.10563501241772515</v>
      </c>
      <c r="K6" s="481">
        <v>0.11482539552641426</v>
      </c>
      <c r="L6" s="481">
        <v>0.10765062062062075</v>
      </c>
      <c r="M6" s="481">
        <v>0.1075327581698176</v>
      </c>
      <c r="N6" s="481">
        <f>+VLOOKUP('Table B'!B6,TableC4d!B:P,10,0)</f>
        <v>9.7607757291373373E-2</v>
      </c>
      <c r="O6" s="482">
        <f t="shared" ref="O6:O48" si="1">+N6-J6</f>
        <v>-8.0272551263517733E-3</v>
      </c>
    </row>
    <row r="7" spans="2:30" ht="33.5" x14ac:dyDescent="0.75">
      <c r="B7" s="477" t="str">
        <f>[3]TableA1!$A13</f>
        <v>Canada</v>
      </c>
      <c r="C7" s="478">
        <v>17.230105012370196</v>
      </c>
      <c r="D7" s="537">
        <v>15.198357978649357</v>
      </c>
      <c r="E7" s="537">
        <v>15.594488609946557</v>
      </c>
      <c r="F7" s="537">
        <v>20.931459218852694</v>
      </c>
      <c r="G7" s="478">
        <f>+VLOOKUP(B7,TableC4!B:X,2,0)/1000</f>
        <v>25.814305850775881</v>
      </c>
      <c r="H7" s="479">
        <f t="shared" si="0"/>
        <v>10.615947872126524</v>
      </c>
      <c r="I7" s="479"/>
      <c r="J7" s="480">
        <v>9.2280382186396753E-2</v>
      </c>
      <c r="K7" s="481">
        <v>7.6301193030542072E-2</v>
      </c>
      <c r="L7" s="481">
        <v>6.6987975746094275E-2</v>
      </c>
      <c r="M7" s="481">
        <v>8.8617148452999436E-2</v>
      </c>
      <c r="N7" s="481">
        <f>+VLOOKUP('Table B'!B7,TableC4d!B:P,10,0)</f>
        <v>9.4387945382259628E-2</v>
      </c>
      <c r="O7" s="482">
        <f t="shared" si="1"/>
        <v>2.1075631958628743E-3</v>
      </c>
    </row>
    <row r="8" spans="2:30" ht="33.5" x14ac:dyDescent="0.75">
      <c r="B8" s="477" t="str">
        <f>[3]TableA1!$A14</f>
        <v>Chile</v>
      </c>
      <c r="C8" s="478">
        <v>4.7302225724644016</v>
      </c>
      <c r="D8" s="537">
        <v>5.2950006605710724</v>
      </c>
      <c r="E8" s="537">
        <v>5.4973809100320352</v>
      </c>
      <c r="F8" s="537">
        <v>7.14489650270687</v>
      </c>
      <c r="G8" s="478">
        <f>+VLOOKUP(B8,TableC4!B:X,2,0)/1000</f>
        <v>9.1137105364196724</v>
      </c>
      <c r="H8" s="479">
        <f t="shared" si="0"/>
        <v>3.8187098758486</v>
      </c>
      <c r="I8" s="479"/>
      <c r="J8" s="480">
        <v>0.10858052429150625</v>
      </c>
      <c r="K8" s="481">
        <v>0.12037488258781079</v>
      </c>
      <c r="L8" s="481">
        <v>0.11876549683457166</v>
      </c>
      <c r="M8" s="481">
        <v>0.13354442875030118</v>
      </c>
      <c r="N8" s="481">
        <f>+VLOOKUP('Table B'!B8,TableC4d!B:P,10,0)</f>
        <v>0.18021631251270342</v>
      </c>
      <c r="O8" s="482">
        <f t="shared" si="1"/>
        <v>7.1635788221197177E-2</v>
      </c>
    </row>
    <row r="9" spans="2:30" ht="33.5" x14ac:dyDescent="0.75">
      <c r="B9" s="477" t="str">
        <f>[3]TableA1!$A15</f>
        <v>Czech Republic</v>
      </c>
      <c r="C9" s="478">
        <v>1.7605746705110292</v>
      </c>
      <c r="D9" s="537">
        <v>2.1802195274240144</v>
      </c>
      <c r="E9" s="537">
        <v>2.3708505250210434</v>
      </c>
      <c r="F9" s="537">
        <v>3.0074942318917577</v>
      </c>
      <c r="G9" s="478">
        <f>+VLOOKUP(B9,TableC4!B:X,2,0)/1000</f>
        <v>2.7979236849221483</v>
      </c>
      <c r="H9" s="479">
        <f t="shared" si="0"/>
        <v>0.6177041574981339</v>
      </c>
      <c r="I9" s="479"/>
      <c r="J9" s="480">
        <v>4.9842555724673894E-2</v>
      </c>
      <c r="K9" s="481">
        <v>5.6636793936156428E-2</v>
      </c>
      <c r="L9" s="481">
        <v>5.5915669479175159E-2</v>
      </c>
      <c r="M9" s="481">
        <v>6.7235673807373941E-2</v>
      </c>
      <c r="N9" s="481">
        <f>+VLOOKUP('Table B'!B9,TableC4d!B:P,10,0)</f>
        <v>6.0019345938042513E-2</v>
      </c>
      <c r="O9" s="482">
        <f t="shared" si="1"/>
        <v>1.0176790213368619E-2</v>
      </c>
    </row>
    <row r="10" spans="2:30" ht="33.5" x14ac:dyDescent="0.75">
      <c r="B10" s="477" t="str">
        <f>[3]TableA1!$A16</f>
        <v>Denmark</v>
      </c>
      <c r="C10" s="478">
        <v>2.9616756315975024</v>
      </c>
      <c r="D10" s="537">
        <v>4.4750467204865734</v>
      </c>
      <c r="E10" s="537">
        <v>4.8109598942684464</v>
      </c>
      <c r="F10" s="537">
        <v>6.103106845926634</v>
      </c>
      <c r="G10" s="478">
        <f>+VLOOKUP(B10,TableC4!B:X,2,0)/1000</f>
        <v>5.5915697826862871</v>
      </c>
      <c r="H10" s="479">
        <f t="shared" si="0"/>
        <v>1.1165230621997138</v>
      </c>
      <c r="I10" s="479"/>
      <c r="J10" s="480">
        <v>8.4308238779602376E-2</v>
      </c>
      <c r="K10" s="481">
        <v>0.11927580428934675</v>
      </c>
      <c r="L10" s="481">
        <v>9.8031585428375034E-2</v>
      </c>
      <c r="M10" s="481">
        <v>0.13130241498020279</v>
      </c>
      <c r="N10" s="481">
        <f>+VLOOKUP('Table B'!B10,TableC4d!B:P,10,0)</f>
        <v>0.11281496316698668</v>
      </c>
      <c r="O10" s="482">
        <f t="shared" si="1"/>
        <v>2.8506724387384302E-2</v>
      </c>
    </row>
    <row r="11" spans="2:30" ht="33.5" x14ac:dyDescent="0.75">
      <c r="B11" s="477" t="str">
        <f>[3]TableA1!$A17</f>
        <v>Estonia</v>
      </c>
      <c r="C11" s="478">
        <v>0.24368604717346201</v>
      </c>
      <c r="D11" s="537">
        <v>0.3216259581959694</v>
      </c>
      <c r="E11" s="537">
        <v>0.31883604719417619</v>
      </c>
      <c r="F11" s="537">
        <v>0.43833912491552618</v>
      </c>
      <c r="G11" s="478">
        <f>+VLOOKUP(B11,TableC4!B:X,2,0)/1000</f>
        <v>0.40808481532341384</v>
      </c>
      <c r="H11" s="479">
        <f t="shared" si="0"/>
        <v>8.6458857127444444E-2</v>
      </c>
      <c r="I11" s="479"/>
      <c r="J11" s="480">
        <v>0.10357148064219124</v>
      </c>
      <c r="K11" s="481">
        <v>0.15753433513164125</v>
      </c>
      <c r="L11" s="481">
        <v>0.15441695263547353</v>
      </c>
      <c r="M11" s="481">
        <v>0.14335183444145599</v>
      </c>
      <c r="N11" s="481">
        <f>+VLOOKUP('Table B'!B11,TableC4d!B:P,10,0)</f>
        <v>0.14320658791780397</v>
      </c>
      <c r="O11" s="482">
        <f t="shared" si="1"/>
        <v>3.963510727561273E-2</v>
      </c>
    </row>
    <row r="12" spans="2:30" ht="33.5" x14ac:dyDescent="0.75">
      <c r="B12" s="477" t="str">
        <f>[3]TableA1!$A18</f>
        <v>Finland</v>
      </c>
      <c r="C12" s="478">
        <v>2.7147863725476888</v>
      </c>
      <c r="D12" s="537">
        <v>3.2431441058527981</v>
      </c>
      <c r="E12" s="537">
        <v>3.9879065869212909</v>
      </c>
      <c r="F12" s="537">
        <v>5.2261436376272279</v>
      </c>
      <c r="G12" s="478">
        <f>+VLOOKUP(B12,TableC4!B:X,2,0)/1000</f>
        <v>4.7682215123263179</v>
      </c>
      <c r="H12" s="479">
        <f t="shared" si="0"/>
        <v>1.5250774064735197</v>
      </c>
      <c r="I12" s="479"/>
      <c r="J12" s="480">
        <v>0.10766710208423033</v>
      </c>
      <c r="K12" s="481">
        <v>0.12221408014023442</v>
      </c>
      <c r="L12" s="481">
        <v>0.11523155997636586</v>
      </c>
      <c r="M12" s="481">
        <v>0.14910233588871938</v>
      </c>
      <c r="N12" s="481">
        <f>+VLOOKUP('Table B'!B12,TableC4d!B:P,10,0)</f>
        <v>0.14036374482253366</v>
      </c>
      <c r="O12" s="482">
        <f t="shared" si="1"/>
        <v>3.2696642738303333E-2</v>
      </c>
    </row>
    <row r="13" spans="2:30" ht="33.5" x14ac:dyDescent="0.75">
      <c r="B13" s="477" t="str">
        <f>[3]TableA1!$A19</f>
        <v>France</v>
      </c>
      <c r="C13" s="478">
        <v>32.08314908112564</v>
      </c>
      <c r="D13" s="537">
        <v>36.00298813004683</v>
      </c>
      <c r="E13" s="537">
        <v>40.031628644827144</v>
      </c>
      <c r="F13" s="537">
        <v>46.696783894794983</v>
      </c>
      <c r="G13" s="478">
        <f>+VLOOKUP(B13,TableC4!B:X,2,0)/1000</f>
        <v>42.561533775583356</v>
      </c>
      <c r="H13" s="479">
        <f t="shared" si="0"/>
        <v>6.5585456455365261</v>
      </c>
      <c r="I13" s="479"/>
      <c r="J13" s="480">
        <v>0.20997354799632112</v>
      </c>
      <c r="K13" s="481">
        <v>0.23890082750939995</v>
      </c>
      <c r="L13" s="481">
        <v>0.22095809198259919</v>
      </c>
      <c r="M13" s="481">
        <v>0.26292877080329241</v>
      </c>
      <c r="N13" s="481">
        <f>+VLOOKUP('Table B'!B13,TableC4d!B:P,10,0)</f>
        <v>0.2176535483408765</v>
      </c>
      <c r="O13" s="482">
        <f t="shared" si="1"/>
        <v>7.6800003445553766E-3</v>
      </c>
    </row>
    <row r="14" spans="2:30" ht="33.5" x14ac:dyDescent="0.75">
      <c r="B14" s="477" t="str">
        <f>[3]TableA1!$A20</f>
        <v>Germany</v>
      </c>
      <c r="C14" s="478">
        <v>54.902660173481536</v>
      </c>
      <c r="D14" s="537">
        <v>65.391620445463857</v>
      </c>
      <c r="E14" s="537">
        <v>65.923376779899769</v>
      </c>
      <c r="F14" s="537">
        <v>83.225183427728908</v>
      </c>
      <c r="G14" s="478">
        <f>+VLOOKUP(B14,TableC4!B:X,2,0)/1000</f>
        <v>75.553765553562798</v>
      </c>
      <c r="H14" s="479">
        <f t="shared" si="0"/>
        <v>10.16214510809894</v>
      </c>
      <c r="I14" s="479"/>
      <c r="J14" s="480">
        <v>0.27915742108293917</v>
      </c>
      <c r="K14" s="481">
        <v>0.28358731313486601</v>
      </c>
      <c r="L14" s="481">
        <v>0.26127485100474251</v>
      </c>
      <c r="M14" s="481">
        <v>0.2918573071841562</v>
      </c>
      <c r="N14" s="544">
        <f>+VLOOKUP('Table B'!B14,TableC4d!B:P,10,0)</f>
        <v>0.29157703980486771</v>
      </c>
      <c r="O14" s="482">
        <f t="shared" si="1"/>
        <v>1.2419618721928538E-2</v>
      </c>
    </row>
    <row r="15" spans="2:30" ht="33.5" x14ac:dyDescent="0.75">
      <c r="B15" s="477" t="str">
        <f>[3]TableA1!$A21</f>
        <v>Greece</v>
      </c>
      <c r="C15" s="478">
        <v>1.0464804684901017</v>
      </c>
      <c r="D15" s="537">
        <v>1.7183186112878792</v>
      </c>
      <c r="E15" s="537">
        <v>1.8408432403662112</v>
      </c>
      <c r="F15" s="537">
        <v>2.1653431527442177</v>
      </c>
      <c r="G15" s="478">
        <f>+VLOOKUP(B15,TableC4!B:X,2,0)/1000</f>
        <v>1.9217787716980914</v>
      </c>
      <c r="H15" s="479">
        <f t="shared" si="0"/>
        <v>0.2034601604102122</v>
      </c>
      <c r="I15" s="479"/>
      <c r="J15" s="480">
        <v>7.2009177498450469E-2</v>
      </c>
      <c r="K15" s="481">
        <v>0.10306379493778557</v>
      </c>
      <c r="L15" s="481">
        <v>0.13463315932449813</v>
      </c>
      <c r="M15" s="481">
        <v>0.14787530243774208</v>
      </c>
      <c r="N15" s="481">
        <f>+VLOOKUP('Table B'!B15,TableC4d!B:P,10,0)</f>
        <v>0.11807154008664292</v>
      </c>
      <c r="O15" s="482">
        <f t="shared" si="1"/>
        <v>4.6062362588192449E-2</v>
      </c>
    </row>
    <row r="16" spans="2:30" ht="33.5" x14ac:dyDescent="0.75">
      <c r="B16" s="477" t="str">
        <f>[3]TableA1!$A22</f>
        <v>Hungary</v>
      </c>
      <c r="C16" s="478">
        <v>2.3948158426447881</v>
      </c>
      <c r="D16" s="537">
        <v>3.6645820938115832</v>
      </c>
      <c r="E16" s="537">
        <v>4.1913114487859913</v>
      </c>
      <c r="F16" s="537">
        <v>6.266037934968991</v>
      </c>
      <c r="G16" s="478">
        <f>+VLOOKUP(B16,TableC4!B:X,2,0)/1000</f>
        <v>5.7709681178497929</v>
      </c>
      <c r="H16" s="479">
        <f t="shared" si="0"/>
        <v>2.1063860240382097</v>
      </c>
      <c r="I16" s="479"/>
      <c r="J16" s="480">
        <v>0.20716531812951985</v>
      </c>
      <c r="K16" s="481">
        <v>0.2358404356150357</v>
      </c>
      <c r="L16" s="481">
        <v>0.12967235482879061</v>
      </c>
      <c r="M16" s="481">
        <v>0.31075709138920871</v>
      </c>
      <c r="N16" s="481">
        <f>+VLOOKUP('Table B'!B16,TableC4d!B:P,10,0)</f>
        <v>0.24594113585300639</v>
      </c>
      <c r="O16" s="482">
        <f t="shared" si="1"/>
        <v>3.8775817723486539E-2</v>
      </c>
    </row>
    <row r="17" spans="2:15" ht="33.5" x14ac:dyDescent="0.75">
      <c r="B17" s="477" t="str">
        <f>[3]TableA1!$A23</f>
        <v>Iceland</v>
      </c>
      <c r="C17" s="478">
        <v>0.43773338031755893</v>
      </c>
      <c r="D17" s="537">
        <v>0.5211963765156874</v>
      </c>
      <c r="E17" s="537">
        <v>0.52543533490845074</v>
      </c>
      <c r="F17" s="537">
        <v>0.59501054260623998</v>
      </c>
      <c r="G17" s="478">
        <f>+VLOOKUP(B17,TableC4!B:X,2,0)/1000</f>
        <v>0.65883319122273554</v>
      </c>
      <c r="H17" s="479">
        <f t="shared" si="0"/>
        <v>0.13763681470704814</v>
      </c>
      <c r="I17" s="479"/>
      <c r="J17" s="480">
        <v>0.21979920473468681</v>
      </c>
      <c r="K17" s="481">
        <v>0.19942467056272711</v>
      </c>
      <c r="L17" s="481">
        <v>0.15730890376433715</v>
      </c>
      <c r="M17" s="481">
        <v>0.18024887311802001</v>
      </c>
      <c r="N17" s="481">
        <f>+VLOOKUP('Table B'!B17,TableC4d!B:P,10,0)</f>
        <v>0.25615598414569818</v>
      </c>
      <c r="O17" s="482">
        <f t="shared" si="1"/>
        <v>3.635677941101137E-2</v>
      </c>
    </row>
    <row r="18" spans="2:15" ht="33.5" x14ac:dyDescent="0.75">
      <c r="B18" s="477" t="str">
        <f>[3]TableA1!$A25</f>
        <v>Israel</v>
      </c>
      <c r="C18" s="478">
        <v>0.63705559338188589</v>
      </c>
      <c r="D18" s="537">
        <v>2.3990782200701437</v>
      </c>
      <c r="E18" s="537">
        <v>2.5440727440132997</v>
      </c>
      <c r="F18" s="537">
        <v>4.0720428149806027</v>
      </c>
      <c r="G18" s="478">
        <f>+VLOOKUP(B18,TableC4!B:X,2,0)/1000</f>
        <v>4.8595584270358758</v>
      </c>
      <c r="H18" s="479">
        <f t="shared" si="0"/>
        <v>2.4604802069657321</v>
      </c>
      <c r="I18" s="479"/>
      <c r="J18" s="480">
        <v>1.7851891100410196E-2</v>
      </c>
      <c r="K18" s="481">
        <v>6.0991213522355842E-2</v>
      </c>
      <c r="L18" s="481">
        <v>5.2442381205074613E-2</v>
      </c>
      <c r="M18" s="481">
        <v>7.8328714198686131E-2</v>
      </c>
      <c r="N18" s="481">
        <f>+VLOOKUP('Table B'!B18,TableC4d!B:P,10,0)</f>
        <v>9.2029896735391137E-2</v>
      </c>
      <c r="O18" s="482">
        <f t="shared" si="1"/>
        <v>7.4178005634980948E-2</v>
      </c>
    </row>
    <row r="19" spans="2:15" ht="33.5" x14ac:dyDescent="0.75">
      <c r="B19" s="477" t="str">
        <f>[3]TableA1!$A26</f>
        <v>Italy</v>
      </c>
      <c r="C19" s="478">
        <v>22.701788950523405</v>
      </c>
      <c r="D19" s="537">
        <v>23.997248470594876</v>
      </c>
      <c r="E19" s="537">
        <v>26.475521411255528</v>
      </c>
      <c r="F19" s="537">
        <v>31.702188320587151</v>
      </c>
      <c r="G19" s="478">
        <f>+VLOOKUP(B19,TableC4!B:X,2,0)/1000</f>
        <v>28.93118085791528</v>
      </c>
      <c r="H19" s="479">
        <f t="shared" si="0"/>
        <v>4.9339323873204037</v>
      </c>
      <c r="I19" s="479"/>
      <c r="J19" s="480">
        <v>0.19117642800501949</v>
      </c>
      <c r="K19" s="481">
        <v>0.1886465436817534</v>
      </c>
      <c r="L19" s="481">
        <v>0.15476308875175407</v>
      </c>
      <c r="M19" s="481">
        <v>0.19521539579379302</v>
      </c>
      <c r="N19" s="481">
        <f>+VLOOKUP('Table B'!B19,TableC4d!B:P,10,0)</f>
        <v>0.17588559138604407</v>
      </c>
      <c r="O19" s="482">
        <f t="shared" si="1"/>
        <v>-1.5290836618975429E-2</v>
      </c>
    </row>
    <row r="20" spans="2:15" ht="33.5" x14ac:dyDescent="0.75">
      <c r="B20" s="477" t="str">
        <f>[3]TableA1!$A27</f>
        <v>Japan</v>
      </c>
      <c r="C20" s="478">
        <v>9</v>
      </c>
      <c r="D20" s="537">
        <v>11.822189073205433</v>
      </c>
      <c r="E20" s="537">
        <v>13.838332192145188</v>
      </c>
      <c r="F20" s="537">
        <v>17.255920618470522</v>
      </c>
      <c r="G20" s="478">
        <f>+VLOOKUP(B20,TableC4!B:X,2,0)/1000</f>
        <v>17.616745199274654</v>
      </c>
      <c r="H20" s="479">
        <f t="shared" si="0"/>
        <v>5.7945561260692209</v>
      </c>
      <c r="I20" s="479"/>
      <c r="J20" s="480">
        <v>0.02</v>
      </c>
      <c r="K20" s="481">
        <v>2.0068264094953346E-2</v>
      </c>
      <c r="L20" s="481">
        <v>2.3557737794889837E-2</v>
      </c>
      <c r="M20" s="481">
        <v>2.5916312289758273E-2</v>
      </c>
      <c r="N20" s="481">
        <f>+VLOOKUP('Table B'!B20,TableC4d!B:P,10,0)</f>
        <v>2.7939462578061635E-2</v>
      </c>
      <c r="O20" s="482">
        <f t="shared" si="1"/>
        <v>7.9394625780616346E-3</v>
      </c>
    </row>
    <row r="21" spans="2:15" ht="33.5" x14ac:dyDescent="0.75">
      <c r="B21" s="477" t="str">
        <f>[3]TableA1!$A28</f>
        <v>Korea</v>
      </c>
      <c r="C21" s="478">
        <v>4.4366599333901586</v>
      </c>
      <c r="D21" s="537">
        <v>4.6798849530002444</v>
      </c>
      <c r="E21" s="537">
        <v>6.1734182103798005</v>
      </c>
      <c r="F21" s="537">
        <v>8.4132472625248553</v>
      </c>
      <c r="G21" s="478">
        <f>+VLOOKUP(B21,TableC4!B:X,2,0)/1000</f>
        <v>10.036126203705848</v>
      </c>
      <c r="H21" s="479">
        <f t="shared" si="0"/>
        <v>5.3562412507056036</v>
      </c>
      <c r="I21" s="479"/>
      <c r="J21" s="480">
        <v>2.3559034749706397E-2</v>
      </c>
      <c r="K21" s="481">
        <v>2.2353860780750807E-2</v>
      </c>
      <c r="L21" s="481">
        <v>2.3157038070597321E-2</v>
      </c>
      <c r="M21" s="481">
        <v>2.9041864107233271E-2</v>
      </c>
      <c r="N21" s="481">
        <f>+VLOOKUP('Table B'!B21,TableC4d!B:P,10,0)</f>
        <v>3.1254384853862678E-2</v>
      </c>
      <c r="O21" s="482">
        <f t="shared" si="1"/>
        <v>7.6953501041562809E-3</v>
      </c>
    </row>
    <row r="22" spans="2:15" ht="33.5" x14ac:dyDescent="0.75">
      <c r="B22" s="477" t="str">
        <f>[3]TableA1!$A29</f>
        <v>Latvia</v>
      </c>
      <c r="C22" s="478">
        <v>0.20097282338156508</v>
      </c>
      <c r="D22" s="537">
        <v>0.25804887401624577</v>
      </c>
      <c r="E22" s="537">
        <v>0.27470701993185587</v>
      </c>
      <c r="F22" s="537">
        <v>0.41229801069776245</v>
      </c>
      <c r="G22" s="478">
        <f>+VLOOKUP(B22,TableC4!B:X,2,0)/1000</f>
        <v>0.38361702552887589</v>
      </c>
      <c r="H22" s="479">
        <f t="shared" si="0"/>
        <v>0.12556815151263012</v>
      </c>
      <c r="I22" s="479"/>
      <c r="J22" s="480">
        <v>6.9942883428137856E-2</v>
      </c>
      <c r="K22" s="481">
        <v>8.2487735475061344E-2</v>
      </c>
      <c r="L22" s="481">
        <v>8.6309859222023333E-2</v>
      </c>
      <c r="M22" s="481">
        <v>0.22739948745119543</v>
      </c>
      <c r="N22" s="481">
        <f>+VLOOKUP('Table B'!B22,TableC4d!B:P,10,0)</f>
        <v>1.4370369939272372</v>
      </c>
      <c r="O22" s="482">
        <f t="shared" si="1"/>
        <v>1.3670941104990992</v>
      </c>
    </row>
    <row r="23" spans="2:15" ht="33.5" x14ac:dyDescent="0.75">
      <c r="B23" s="477" t="str">
        <f>[3]TableA1!$A31</f>
        <v>Mexico</v>
      </c>
      <c r="C23" s="478">
        <v>12.115511599266812</v>
      </c>
      <c r="D23" s="537">
        <v>11.05080617697517</v>
      </c>
      <c r="E23" s="537">
        <v>10.987574051335292</v>
      </c>
      <c r="F23" s="537">
        <v>16.724249430502969</v>
      </c>
      <c r="G23" s="478">
        <f>+VLOOKUP(B23,TableC4!B:X,2,0)/1000</f>
        <v>20.361605787002816</v>
      </c>
      <c r="H23" s="479">
        <f t="shared" si="0"/>
        <v>9.3107996100276456</v>
      </c>
      <c r="I23" s="479"/>
      <c r="J23" s="480">
        <v>9.722953735639249E-2</v>
      </c>
      <c r="K23" s="481">
        <v>8.8277492665807228E-2</v>
      </c>
      <c r="L23" s="481">
        <v>8.1106999015288006E-2</v>
      </c>
      <c r="M23" s="481">
        <v>0.11922716548764499</v>
      </c>
      <c r="N23" s="481">
        <f>+VLOOKUP('Table B'!B23,TableC4d!B:P,10,0)</f>
        <v>0.1464226475009392</v>
      </c>
      <c r="O23" s="482">
        <f t="shared" si="1"/>
        <v>4.9193110144546706E-2</v>
      </c>
    </row>
    <row r="24" spans="2:15" ht="33.5" x14ac:dyDescent="0.75">
      <c r="B24" s="477" t="str">
        <f>[3]TableA1!$A33</f>
        <v>New Zealand</v>
      </c>
      <c r="C24" s="478">
        <v>1.4127580464257283</v>
      </c>
      <c r="D24" s="537">
        <v>1.9298795757142502</v>
      </c>
      <c r="E24" s="537">
        <v>1.984262874211592</v>
      </c>
      <c r="F24" s="537">
        <v>2.6649261651961003</v>
      </c>
      <c r="G24" s="478">
        <f>+VLOOKUP(B24,TableC4!B:X,2,0)/1000</f>
        <v>3.1555257621012385</v>
      </c>
      <c r="H24" s="479">
        <f t="shared" si="0"/>
        <v>1.2256461863869883</v>
      </c>
      <c r="I24" s="479"/>
      <c r="J24" s="480">
        <v>4.9727423642897652E-2</v>
      </c>
      <c r="K24" s="481">
        <v>5.7666567997749184E-2</v>
      </c>
      <c r="L24" s="481">
        <v>5.7563816556013316E-2</v>
      </c>
      <c r="M24" s="481">
        <v>7.0406844746315825E-2</v>
      </c>
      <c r="N24" s="481">
        <f>+VLOOKUP('Table B'!B24,TableC4d!B:P,10,0)</f>
        <v>0.10845174076478585</v>
      </c>
      <c r="O24" s="482">
        <f t="shared" si="1"/>
        <v>5.8724317121888199E-2</v>
      </c>
    </row>
    <row r="25" spans="2:15" ht="33.5" x14ac:dyDescent="0.75">
      <c r="B25" s="477" t="str">
        <f>[3]TableA1!$A34</f>
        <v>Norway</v>
      </c>
      <c r="C25" s="478">
        <v>4.9697162876448902</v>
      </c>
      <c r="D25" s="537">
        <v>6.2274581821361075</v>
      </c>
      <c r="E25" s="537">
        <v>5.9121179045364771</v>
      </c>
      <c r="F25" s="537">
        <v>7.2264910993426845</v>
      </c>
      <c r="G25" s="478">
        <f>+VLOOKUP(B25,TableC4!B:X,2,0)/1000</f>
        <v>8.1323730332965596</v>
      </c>
      <c r="H25" s="479">
        <f t="shared" si="0"/>
        <v>1.9049148511604521</v>
      </c>
      <c r="I25" s="479"/>
      <c r="J25" s="480">
        <v>7.9022923686169505E-2</v>
      </c>
      <c r="K25" s="481">
        <v>0.10429007216066878</v>
      </c>
      <c r="L25" s="481">
        <v>7.307190890031845E-2</v>
      </c>
      <c r="M25" s="481">
        <v>6.3975667408534317E-2</v>
      </c>
      <c r="N25" s="481">
        <f>+VLOOKUP('Table B'!B25,TableC4d!B:P,10,0)</f>
        <v>7.5095748251736025E-2</v>
      </c>
      <c r="O25" s="482">
        <f t="shared" si="1"/>
        <v>-3.9271754344334803E-3</v>
      </c>
    </row>
    <row r="26" spans="2:15" ht="33.5" x14ac:dyDescent="0.75">
      <c r="B26" s="477" t="str">
        <f>[3]TableA1!$A35</f>
        <v>Poland</v>
      </c>
      <c r="C26" s="478">
        <v>3.6957534122054829</v>
      </c>
      <c r="D26" s="537">
        <v>4.2049262216454952</v>
      </c>
      <c r="E26" s="537">
        <v>4.3415613024244397</v>
      </c>
      <c r="F26" s="537">
        <v>5.9155058539171703</v>
      </c>
      <c r="G26" s="478">
        <f>+VLOOKUP(B26,TableC4!B:X,2,0)/1000</f>
        <v>5.3524895728422361</v>
      </c>
      <c r="H26" s="479">
        <f t="shared" si="0"/>
        <v>1.1475633511967409</v>
      </c>
      <c r="I26" s="479"/>
      <c r="J26" s="480">
        <v>7.995762060743801E-2</v>
      </c>
      <c r="K26" s="481">
        <v>9.2160070510784509E-2</v>
      </c>
      <c r="L26" s="481">
        <v>8.1271092807283729E-2</v>
      </c>
      <c r="M26" s="481">
        <v>9.1256778594276625E-2</v>
      </c>
      <c r="N26" s="481">
        <f>+VLOOKUP('Table B'!B26,TableC4d!B:P,10,0)</f>
        <v>7.7154164151821164E-2</v>
      </c>
      <c r="O26" s="482">
        <f t="shared" si="1"/>
        <v>-2.8034564556168456E-3</v>
      </c>
    </row>
    <row r="27" spans="2:15" ht="33.5" x14ac:dyDescent="0.75">
      <c r="B27" s="477" t="str">
        <f>[3]TableA1!$A36</f>
        <v>Portugal</v>
      </c>
      <c r="C27" s="478">
        <v>2.6381016430905269</v>
      </c>
      <c r="D27" s="537">
        <v>3.2599578171412329</v>
      </c>
      <c r="E27" s="537">
        <v>3.1681518538521507</v>
      </c>
      <c r="F27" s="537">
        <v>3.7789861652380776</v>
      </c>
      <c r="G27" s="478">
        <f>+VLOOKUP(B27,TableC4!B:X,2,0)/1000</f>
        <v>3.4499354454827147</v>
      </c>
      <c r="H27" s="479">
        <f t="shared" si="0"/>
        <v>0.1899776283414818</v>
      </c>
      <c r="I27" s="479"/>
      <c r="J27" s="480">
        <v>8.8984298209723964E-2</v>
      </c>
      <c r="K27" s="481">
        <v>0.10907372539849944</v>
      </c>
      <c r="L27" s="481">
        <v>9.3766868837645651E-2</v>
      </c>
      <c r="M27" s="481">
        <v>9.8788412947997103E-2</v>
      </c>
      <c r="N27" s="481">
        <f>+VLOOKUP('Table B'!B27,TableC4d!B:P,10,0)</f>
        <v>9.71410865476839E-2</v>
      </c>
      <c r="O27" s="482">
        <f t="shared" si="1"/>
        <v>8.156788337959936E-3</v>
      </c>
    </row>
    <row r="28" spans="2:15" ht="33.5" x14ac:dyDescent="0.75">
      <c r="B28" s="477" t="str">
        <f>[3]TableA1!$A37</f>
        <v>Slovakia</v>
      </c>
      <c r="C28" s="478">
        <v>0.63679409313137514</v>
      </c>
      <c r="D28" s="537">
        <v>0.85017936558352614</v>
      </c>
      <c r="E28" s="537">
        <v>0.9424606884737754</v>
      </c>
      <c r="F28" s="537">
        <v>1.1270875762281831</v>
      </c>
      <c r="G28" s="478">
        <f>+VLOOKUP(B28,TableC4!B:X,2,0)/1000</f>
        <v>1.0493305818597645</v>
      </c>
      <c r="H28" s="479">
        <f t="shared" si="0"/>
        <v>0.19915121627623833</v>
      </c>
      <c r="I28" s="479"/>
      <c r="J28" s="480">
        <v>4.8026979941344722E-2</v>
      </c>
      <c r="K28" s="481">
        <v>5.9769321144162252E-2</v>
      </c>
      <c r="L28" s="481">
        <v>5.9886940897175001E-2</v>
      </c>
      <c r="M28" s="481">
        <v>6.9327251066273174E-2</v>
      </c>
      <c r="N28" s="481">
        <f>+VLOOKUP('Table B'!B28,TableC4d!B:P,10,0)</f>
        <v>6.9113731865188086E-2</v>
      </c>
      <c r="O28" s="482">
        <f t="shared" si="1"/>
        <v>2.1086751923843364E-2</v>
      </c>
    </row>
    <row r="29" spans="2:15" ht="33.5" x14ac:dyDescent="0.75">
      <c r="B29" s="477" t="str">
        <f>[3]TableA1!$A38</f>
        <v>Slovenia</v>
      </c>
      <c r="C29" s="478">
        <v>0.22529212274620541</v>
      </c>
      <c r="D29" s="537">
        <v>0.8899768792232039</v>
      </c>
      <c r="E29" s="537">
        <v>0.36733475016642186</v>
      </c>
      <c r="F29" s="537">
        <v>0.46136445601106613</v>
      </c>
      <c r="G29" s="478">
        <f>+VLOOKUP(B29,TableC4!B:X,2,0)/1000</f>
        <v>0.41441801892595304</v>
      </c>
      <c r="H29" s="479">
        <f t="shared" si="0"/>
        <v>-0.47555886029725086</v>
      </c>
      <c r="I29" s="479"/>
      <c r="J29" s="480">
        <v>0.21</v>
      </c>
      <c r="K29" s="481">
        <v>0.21211811591422622</v>
      </c>
      <c r="L29" s="481">
        <v>8.0887612841893344E-2</v>
      </c>
      <c r="M29" s="481">
        <v>8.3789168240549272E-2</v>
      </c>
      <c r="N29" s="481">
        <f>+VLOOKUP('Table B'!B29,TableC4d!B:P,10,0)</f>
        <v>7.3763069652034163E-2</v>
      </c>
      <c r="O29" s="482">
        <f t="shared" si="1"/>
        <v>-0.13623693034796583</v>
      </c>
    </row>
    <row r="30" spans="2:15" ht="33.5" x14ac:dyDescent="0.75">
      <c r="B30" s="477" t="str">
        <f>[3]TableA1!$A39</f>
        <v>Spain</v>
      </c>
      <c r="C30" s="478">
        <v>14.361632474553868</v>
      </c>
      <c r="D30" s="537">
        <v>14.693416683766145</v>
      </c>
      <c r="E30" s="537">
        <v>16.966936080942119</v>
      </c>
      <c r="F30" s="537">
        <v>23.051471472147938</v>
      </c>
      <c r="G30" s="478">
        <f>+VLOOKUP(B30,TableC4!B:X,2,0)/1000</f>
        <v>21.086367061165596</v>
      </c>
      <c r="H30" s="479">
        <f t="shared" si="0"/>
        <v>6.3929503773994512</v>
      </c>
      <c r="I30" s="479"/>
      <c r="J30" s="480">
        <v>0.14169133044555379</v>
      </c>
      <c r="K30" s="481">
        <v>0.13224191042325864</v>
      </c>
      <c r="L30" s="481">
        <v>0.13980941256858773</v>
      </c>
      <c r="M30" s="481">
        <v>0.16331544756941857</v>
      </c>
      <c r="N30" s="481">
        <f>+VLOOKUP('Table B'!B30,TableC4d!B:P,10,0)</f>
        <v>0.18310080120891367</v>
      </c>
      <c r="O30" s="482">
        <f t="shared" si="1"/>
        <v>4.1409470763359879E-2</v>
      </c>
    </row>
    <row r="31" spans="2:15" ht="33.5" x14ac:dyDescent="0.75">
      <c r="B31" s="477" t="str">
        <f>[3]TableA1!$A40</f>
        <v>Sweden</v>
      </c>
      <c r="C31" s="478">
        <v>8.5408289583551564</v>
      </c>
      <c r="D31" s="537">
        <v>10.304689557654912</v>
      </c>
      <c r="E31" s="537">
        <v>11.692139921421571</v>
      </c>
      <c r="F31" s="537">
        <v>13.688971672603801</v>
      </c>
      <c r="G31" s="478">
        <f>+VLOOKUP(B31,TableC4!B:X,2,0)/1000</f>
        <v>12.569265609721342</v>
      </c>
      <c r="H31" s="479">
        <f t="shared" si="0"/>
        <v>2.2645760520664293</v>
      </c>
      <c r="I31" s="479"/>
      <c r="J31" s="480">
        <v>0.12758674261005515</v>
      </c>
      <c r="K31" s="481">
        <v>0.16107413275695859</v>
      </c>
      <c r="L31" s="481">
        <v>0.17096716658491809</v>
      </c>
      <c r="M31" s="481">
        <v>0.18344971290170389</v>
      </c>
      <c r="N31" s="481">
        <f>+VLOOKUP('Table B'!B31,TableC4d!B:P,10,0)</f>
        <v>0.1674210940484315</v>
      </c>
      <c r="O31" s="482">
        <f t="shared" si="1"/>
        <v>3.9834351438376353E-2</v>
      </c>
    </row>
    <row r="32" spans="2:15" ht="33.5" x14ac:dyDescent="0.75">
      <c r="B32" s="477" t="str">
        <f>[3]TableA1!$A42</f>
        <v>Turkey</v>
      </c>
      <c r="C32" s="478">
        <v>4.6119434767300787</v>
      </c>
      <c r="D32" s="537">
        <v>3.8542467882708467</v>
      </c>
      <c r="E32" s="537">
        <v>3.7336596669225579</v>
      </c>
      <c r="F32" s="537">
        <v>5.0310525435229403</v>
      </c>
      <c r="G32" s="478">
        <f>+VLOOKUP(B32,TableC4!B:X,2,0)/1000</f>
        <v>5.7330069035430853</v>
      </c>
      <c r="H32" s="479">
        <f t="shared" si="0"/>
        <v>1.8787601152722386</v>
      </c>
      <c r="I32" s="479"/>
      <c r="J32" s="480">
        <v>7.5143595197188717E-2</v>
      </c>
      <c r="K32" s="481">
        <v>5.4179364073812152E-2</v>
      </c>
      <c r="L32" s="481">
        <v>5.1491143457959285E-2</v>
      </c>
      <c r="M32" s="481">
        <v>6.7929615878362229E-2</v>
      </c>
      <c r="N32" s="481">
        <f>+VLOOKUP('Table B'!B32,TableC4d!B:P,10,0)</f>
        <v>7.7407451704525204E-2</v>
      </c>
      <c r="O32" s="482">
        <f t="shared" si="1"/>
        <v>2.2638565073364869E-3</v>
      </c>
    </row>
    <row r="33" spans="2:15" ht="33.5" x14ac:dyDescent="0.75">
      <c r="B33" s="477" t="str">
        <f>[3]TableA1!$A43</f>
        <v>United Kingdom</v>
      </c>
      <c r="C33" s="478">
        <v>61.499020611120656</v>
      </c>
      <c r="D33" s="537">
        <v>80.524551152341473</v>
      </c>
      <c r="E33" s="537">
        <v>95.96795509404761</v>
      </c>
      <c r="F33" s="537">
        <v>120.07005754276821</v>
      </c>
      <c r="G33" s="478">
        <f>+VLOOKUP(B33,TableC4!B:X,2,0)/1000</f>
        <v>109.61243210146822</v>
      </c>
      <c r="H33" s="479">
        <f t="shared" si="0"/>
        <v>29.087880949126742</v>
      </c>
      <c r="I33" s="479"/>
      <c r="J33" s="480">
        <v>0.17522636389555327</v>
      </c>
      <c r="K33" s="481">
        <v>0.22317561806271471</v>
      </c>
      <c r="L33" s="481">
        <v>0.24587094687149039</v>
      </c>
      <c r="M33" s="481">
        <v>0.28033488376460547</v>
      </c>
      <c r="N33" s="481">
        <f>+VLOOKUP('Table B'!B33,TableC4d!B:P,10,0)</f>
        <v>0.3199088142842143</v>
      </c>
      <c r="O33" s="482">
        <f t="shared" si="1"/>
        <v>0.14468245038866104</v>
      </c>
    </row>
    <row r="34" spans="2:15" ht="33.5" x14ac:dyDescent="0.75">
      <c r="B34" s="483" t="str">
        <f>[3]TableA1!$A44</f>
        <v>United States</v>
      </c>
      <c r="C34" s="484">
        <v>142.04516052906811</v>
      </c>
      <c r="D34" s="533">
        <v>152.05962203909527</v>
      </c>
      <c r="E34" s="533">
        <v>161.89420535357644</v>
      </c>
      <c r="F34" s="533">
        <v>186.43815065854375</v>
      </c>
      <c r="G34" s="533">
        <f>+VLOOKUP(B34,TableC4!B:X,2,0)/1000</f>
        <v>165.28686205757737</v>
      </c>
      <c r="H34" s="488">
        <f t="shared" si="0"/>
        <v>13.227240018482092</v>
      </c>
      <c r="I34" s="488"/>
      <c r="J34" s="534">
        <v>0.14029437788441623</v>
      </c>
      <c r="K34" s="526">
        <v>0.16532883138134644</v>
      </c>
      <c r="L34" s="526">
        <v>0.19183214921944411</v>
      </c>
      <c r="M34" s="526">
        <v>0.23107460008173181</v>
      </c>
      <c r="N34" s="526">
        <f>+VLOOKUP('Table B'!B34,TableC4d!B:P,10,0)</f>
        <v>0.15559404460761039</v>
      </c>
      <c r="O34" s="542">
        <f t="shared" si="1"/>
        <v>1.5299666723194161E-2</v>
      </c>
    </row>
    <row r="35" spans="2:15" ht="40" customHeight="1" x14ac:dyDescent="0.75">
      <c r="B35" s="489" t="s">
        <v>67</v>
      </c>
      <c r="G35" s="489"/>
      <c r="H35" s="479"/>
      <c r="I35" s="489"/>
      <c r="J35" s="489"/>
      <c r="K35" s="538"/>
      <c r="L35" s="538"/>
      <c r="M35" s="538"/>
      <c r="N35" s="489"/>
      <c r="O35" s="482"/>
    </row>
    <row r="36" spans="2:15" ht="40" customHeight="1" x14ac:dyDescent="0.75">
      <c r="B36" s="540" t="s">
        <v>130</v>
      </c>
      <c r="C36" s="541"/>
      <c r="D36" s="537">
        <v>2.5066464933540349</v>
      </c>
      <c r="E36" s="537">
        <v>3.2134036449419985</v>
      </c>
      <c r="F36" s="537">
        <v>4.2585954838971034</v>
      </c>
      <c r="G36" s="478">
        <f>+VLOOKUP(B36,TableC4!B:X,2,0)/1000</f>
        <v>4.9287977089356723</v>
      </c>
      <c r="H36" s="479">
        <f t="shared" si="0"/>
        <v>2.4221512155816374</v>
      </c>
      <c r="I36" s="481"/>
      <c r="J36" s="489"/>
      <c r="K36" s="481">
        <f>+VLOOKUP(B36,[4]TableC4d!B:P,10,0)</f>
        <v>5.4871612016806438E-2</v>
      </c>
      <c r="L36" s="481">
        <v>7.034284193090054E-2</v>
      </c>
      <c r="M36" s="481">
        <v>8.9357910795109241E-2</v>
      </c>
      <c r="N36" s="481">
        <f>+VLOOKUP('Table B'!B36,TableC4d!B:P,10,0)</f>
        <v>0.12066811378707953</v>
      </c>
      <c r="O36" s="482"/>
    </row>
    <row r="37" spans="2:15" ht="33.5" x14ac:dyDescent="0.75">
      <c r="B37" s="477" t="str">
        <f>[3]TableA1!$A46</f>
        <v>Brazil</v>
      </c>
      <c r="C37" s="478">
        <v>13.243963816477239</v>
      </c>
      <c r="D37" s="478">
        <v>17.299110202379346</v>
      </c>
      <c r="E37" s="478">
        <v>19.674686249783527</v>
      </c>
      <c r="F37" s="478">
        <v>22.048522970538496</v>
      </c>
      <c r="G37" s="478">
        <f>+VLOOKUP(B37,TableC4!B:X,2,0)/1000</f>
        <v>26.816895550320552</v>
      </c>
      <c r="H37" s="479">
        <f t="shared" si="0"/>
        <v>9.5177853479412065</v>
      </c>
      <c r="I37" s="479"/>
      <c r="J37" s="480">
        <v>8.4122127915958592E-2</v>
      </c>
      <c r="K37" s="481">
        <v>0.10366864283168098</v>
      </c>
      <c r="L37" s="481">
        <v>0.11567973150402824</v>
      </c>
      <c r="M37" s="481">
        <v>0.14120006453000392</v>
      </c>
      <c r="N37" s="481">
        <f>+VLOOKUP('Table B'!B37,TableC4d!B:P,10,0)</f>
        <v>0.17331989683981694</v>
      </c>
      <c r="O37" s="482">
        <f t="shared" si="1"/>
        <v>8.9197768923858348E-2</v>
      </c>
    </row>
    <row r="38" spans="2:15" ht="33.5" x14ac:dyDescent="0.75">
      <c r="B38" s="477" t="str">
        <f>[3]TableA1!$A47</f>
        <v>China</v>
      </c>
      <c r="C38" s="478">
        <v>54.639167474834217</v>
      </c>
      <c r="D38" s="478">
        <v>50.425959162319145</v>
      </c>
      <c r="E38" s="478">
        <v>51.398595430071204</v>
      </c>
      <c r="F38" s="478">
        <v>71.190809491313814</v>
      </c>
      <c r="G38" s="478">
        <f>+VLOOKUP(B38,TableC4!B:X,2,0)/1000</f>
        <v>92.693313901633616</v>
      </c>
      <c r="H38" s="479">
        <f t="shared" si="0"/>
        <v>42.26735473931447</v>
      </c>
      <c r="I38" s="479"/>
      <c r="J38" s="480">
        <v>3.23734212127871E-2</v>
      </c>
      <c r="K38" s="481">
        <v>2.9024114590146977E-2</v>
      </c>
      <c r="L38" s="481">
        <v>2.7346777527327469E-2</v>
      </c>
      <c r="M38" s="481">
        <v>3.316150358841391E-2</v>
      </c>
      <c r="N38" s="481">
        <f>+VLOOKUP('Table B'!B38,TableC4d!B:P,10,0)</f>
        <v>4.3097816811950553E-2</v>
      </c>
      <c r="O38" s="482">
        <f t="shared" si="1"/>
        <v>1.0724395599163453E-2</v>
      </c>
    </row>
    <row r="39" spans="2:15" ht="33.5" x14ac:dyDescent="0.75">
      <c r="B39" s="477" t="str">
        <f>[3]TableA1!$A48</f>
        <v>Colombia</v>
      </c>
      <c r="C39" s="478">
        <v>1.3137022123411772</v>
      </c>
      <c r="D39" s="478">
        <v>0.98255214585218387</v>
      </c>
      <c r="E39" s="478">
        <v>1.3503492119174079</v>
      </c>
      <c r="F39" s="478">
        <v>1.9423504032263401</v>
      </c>
      <c r="G39" s="478">
        <f>+VLOOKUP(B39,TableC4!B:X,2,0)/1000</f>
        <v>2.2487628910587181</v>
      </c>
      <c r="H39" s="479">
        <f t="shared" si="0"/>
        <v>1.2662107452065343</v>
      </c>
      <c r="I39" s="479"/>
      <c r="J39" s="480">
        <v>1.9286039387400509E-2</v>
      </c>
      <c r="K39" s="481">
        <v>1.4974236041179142E-2</v>
      </c>
      <c r="L39" s="481">
        <v>2.4446608196856373E-2</v>
      </c>
      <c r="M39" s="481">
        <v>3.5450410572162215E-2</v>
      </c>
      <c r="N39" s="481">
        <f>+VLOOKUP('Table B'!B39,TableC4d!B:P,10,0)</f>
        <v>4.5073168581550159E-2</v>
      </c>
      <c r="O39" s="482">
        <f t="shared" si="1"/>
        <v>2.578712919414965E-2</v>
      </c>
    </row>
    <row r="40" spans="2:15" ht="33.5" x14ac:dyDescent="0.75">
      <c r="B40" s="477" t="str">
        <f>[3]TableA1!$A49</f>
        <v>Costa Rica</v>
      </c>
      <c r="C40" s="478">
        <v>0.98977563943513325</v>
      </c>
      <c r="D40" s="478">
        <v>0.89761837807842071</v>
      </c>
      <c r="E40" s="478">
        <v>1.1982115668392268</v>
      </c>
      <c r="F40" s="478">
        <v>1.6803789452398334</v>
      </c>
      <c r="G40" s="478">
        <f>+VLOOKUP(B40,TableC4!B:X,2,0)/1000</f>
        <v>1.9454645303416915</v>
      </c>
      <c r="H40" s="479">
        <f t="shared" si="0"/>
        <v>1.0478461522632707</v>
      </c>
      <c r="I40" s="479"/>
      <c r="J40" s="480">
        <v>0.19288603020104272</v>
      </c>
      <c r="K40" s="481">
        <v>0.17479942969577303</v>
      </c>
      <c r="L40" s="481">
        <v>0.2160457919689921</v>
      </c>
      <c r="M40" s="481">
        <v>0.28205793392825368</v>
      </c>
      <c r="N40" s="481">
        <f>+VLOOKUP('Table B'!B40,TableC4d!B:P,10,0)</f>
        <v>0.32395073300428356</v>
      </c>
      <c r="O40" s="482">
        <f t="shared" si="1"/>
        <v>0.13106470280324084</v>
      </c>
    </row>
    <row r="41" spans="2:15" ht="33.5" x14ac:dyDescent="0.75">
      <c r="B41" s="477" t="s">
        <v>175</v>
      </c>
      <c r="C41" s="541"/>
      <c r="D41" s="537">
        <v>3.0477276082685312</v>
      </c>
      <c r="E41" s="537">
        <v>3.3826290978669067</v>
      </c>
      <c r="F41" s="537">
        <v>4.6029398249029452</v>
      </c>
      <c r="G41" s="478">
        <f>+VLOOKUP(B41,TableC4!B:X,2,0)/1000</f>
        <v>5.5118256237841878</v>
      </c>
      <c r="H41" s="479">
        <f t="shared" si="0"/>
        <v>2.4640980155156567</v>
      </c>
      <c r="J41" s="480"/>
      <c r="K41" s="481">
        <f>+VLOOKUP(B41,[4]TableC4d!B:P,10,0)</f>
        <v>4.2385553188669371E-2</v>
      </c>
      <c r="L41" s="481">
        <v>4.7043116699865495E-2</v>
      </c>
      <c r="M41" s="481">
        <v>6.5436840449000944E-2</v>
      </c>
      <c r="N41" s="481">
        <f>+VLOOKUP('Table B'!B41,TableC4d!B:P,10,0)</f>
        <v>0.13378809260727195</v>
      </c>
      <c r="O41" s="482"/>
    </row>
    <row r="42" spans="2:15" ht="33.5" x14ac:dyDescent="0.75">
      <c r="B42" s="477" t="s">
        <v>198</v>
      </c>
      <c r="C42" s="541"/>
      <c r="D42" s="537">
        <v>7.0491383951542801</v>
      </c>
      <c r="E42" s="537">
        <v>7.47401146927188</v>
      </c>
      <c r="F42" s="537">
        <v>9.8893148800065518</v>
      </c>
      <c r="G42" s="478">
        <f>+VLOOKUP(B42,TableC4!B:X,2,0)/1000</f>
        <v>11.981150991337326</v>
      </c>
      <c r="H42" s="479">
        <f t="shared" si="0"/>
        <v>4.9320125961830463</v>
      </c>
      <c r="J42" s="480"/>
      <c r="K42" s="481">
        <f>+VLOOKUP(B42,[4]TableC4d!B:P,10,0)</f>
        <v>8.1955777944657957E-2</v>
      </c>
      <c r="L42" s="481">
        <v>8.6895502683355497E-2</v>
      </c>
      <c r="M42" s="481">
        <v>0.1149766750058083</v>
      </c>
      <c r="N42" s="481">
        <f>+VLOOKUP('Table B'!B42,TableC4d!B:P,10,0)</f>
        <v>0.13929710201780904</v>
      </c>
      <c r="O42" s="482"/>
    </row>
    <row r="43" spans="2:15" ht="33.5" x14ac:dyDescent="0.75">
      <c r="B43" s="477" t="str">
        <f>[3]TableA1!$A50</f>
        <v>India</v>
      </c>
      <c r="C43" s="478">
        <v>8.7497440301564922</v>
      </c>
      <c r="D43" s="478">
        <v>9.5888942578314591</v>
      </c>
      <c r="E43" s="478">
        <v>11.342488387653461</v>
      </c>
      <c r="F43" s="478">
        <v>15.647845307337617</v>
      </c>
      <c r="G43" s="478">
        <f>+VLOOKUP(B43,TableC4!B:X,2,0)/1000</f>
        <v>19.061769168729782</v>
      </c>
      <c r="H43" s="479">
        <f t="shared" si="0"/>
        <v>9.472874910898323</v>
      </c>
      <c r="I43" s="479"/>
      <c r="J43" s="480">
        <v>8.1017937685124219E-2</v>
      </c>
      <c r="K43" s="481">
        <v>4.5959234214588959E-2</v>
      </c>
      <c r="L43" s="481">
        <v>4.8820236674130865E-2</v>
      </c>
      <c r="M43" s="481">
        <v>6.2705117563161314E-2</v>
      </c>
      <c r="N43" s="481">
        <f>+VLOOKUP('Table B'!B43,TableC4d!B:P,10,0)</f>
        <v>6.2927193684744365E-2</v>
      </c>
      <c r="O43" s="482">
        <f t="shared" si="1"/>
        <v>-1.8090744000379855E-2</v>
      </c>
    </row>
    <row r="44" spans="2:15" ht="33.5" x14ac:dyDescent="0.75">
      <c r="B44" s="477" t="s">
        <v>222</v>
      </c>
      <c r="C44" s="541"/>
      <c r="D44" s="537">
        <v>3.7993174091326019</v>
      </c>
      <c r="E44" s="537">
        <v>4.2197800720963548</v>
      </c>
      <c r="F44" s="537">
        <v>5.8238400637294454</v>
      </c>
      <c r="G44" s="478">
        <f>+VLOOKUP(B44,TableC4!B:X,2,0)/1000</f>
        <v>7.0461835705219</v>
      </c>
      <c r="H44" s="479">
        <f t="shared" si="0"/>
        <v>3.2468661613892982</v>
      </c>
      <c r="J44" s="480"/>
      <c r="K44" s="481">
        <f>+VLOOKUP(B44,[4]TableC4d!B:P,10,0)</f>
        <v>5.2443068198808354E-2</v>
      </c>
      <c r="L44" s="481">
        <v>5.824683496382177E-2</v>
      </c>
      <c r="M44" s="481">
        <v>6.0974717294271508E-2</v>
      </c>
      <c r="N44" s="481">
        <f>+VLOOKUP('Table B'!B44,TableC4d!B:P,10,0)</f>
        <v>7.2420415671892113E-2</v>
      </c>
      <c r="O44" s="482"/>
    </row>
    <row r="45" spans="2:15" ht="33.5" x14ac:dyDescent="0.75">
      <c r="B45" s="477" t="s">
        <v>240</v>
      </c>
      <c r="C45" s="541"/>
      <c r="D45" s="537">
        <v>3.0835535605185651</v>
      </c>
      <c r="E45" s="537">
        <v>2.4012654170148671</v>
      </c>
      <c r="F45" s="537">
        <v>3.5098518099317317</v>
      </c>
      <c r="G45" s="478">
        <f>+VLOOKUP(B45,TableC4!B:X,2,0)/1000</f>
        <v>4.3027320508594249</v>
      </c>
      <c r="H45" s="479">
        <f t="shared" si="0"/>
        <v>1.2191784903408598</v>
      </c>
      <c r="J45" s="480"/>
      <c r="K45" s="481">
        <f>+VLOOKUP(B45,[4]TableC4d!B:P,10,0)</f>
        <v>0.23737902698372326</v>
      </c>
      <c r="L45" s="481">
        <v>0.18485492047843474</v>
      </c>
      <c r="M45" s="481">
        <v>0.25251943569943869</v>
      </c>
      <c r="N45" s="481">
        <f>+VLOOKUP('Table B'!B45,TableC4d!B:P,10,0)</f>
        <v>0.25620243719242025</v>
      </c>
      <c r="O45" s="482"/>
    </row>
    <row r="46" spans="2:15" ht="33.5" x14ac:dyDescent="0.75">
      <c r="B46" s="477" t="str">
        <f>[3]TableA1!$A51</f>
        <v>Russia</v>
      </c>
      <c r="C46" s="478">
        <v>11.347828990193646</v>
      </c>
      <c r="D46" s="478">
        <v>12.722952388815417</v>
      </c>
      <c r="E46" s="478">
        <v>13.845451426228143</v>
      </c>
      <c r="F46" s="478">
        <v>17.339638156059689</v>
      </c>
      <c r="G46" s="478">
        <f>+VLOOKUP(B46,TableC4!B:X,2,0)/1000</f>
        <v>20.34313851126101</v>
      </c>
      <c r="H46" s="479">
        <f t="shared" si="0"/>
        <v>7.6201861224455936</v>
      </c>
      <c r="I46" s="479"/>
      <c r="J46" s="480">
        <v>5.404894525547628E-2</v>
      </c>
      <c r="K46" s="481">
        <v>6.199448946601567E-2</v>
      </c>
      <c r="L46" s="481">
        <v>4.8753134522671999E-2</v>
      </c>
      <c r="M46" s="481">
        <v>5.4031855017291776E-2</v>
      </c>
      <c r="N46" s="481">
        <f>+VLOOKUP('Table B'!B46,TableC4d!B:P,10,0)</f>
        <v>5.7428604691060495E-2</v>
      </c>
      <c r="O46" s="482">
        <f t="shared" si="1"/>
        <v>3.3796594355842147E-3</v>
      </c>
    </row>
    <row r="47" spans="2:15" ht="33.5" x14ac:dyDescent="0.75">
      <c r="B47" s="477" t="str">
        <f>[3]TableA1!$A50</f>
        <v>India</v>
      </c>
      <c r="C47" s="478">
        <v>3.8269074924636528</v>
      </c>
      <c r="D47" s="478">
        <v>4.0246001063345211</v>
      </c>
      <c r="E47" s="478">
        <v>11.342488387653461</v>
      </c>
      <c r="F47" s="478">
        <v>15.647845307337617</v>
      </c>
      <c r="G47" s="478">
        <f>+VLOOKUP(B47,TableC4!B:X,2,0)/1000</f>
        <v>19.061769168729782</v>
      </c>
      <c r="H47" s="479">
        <f t="shared" si="0"/>
        <v>15.037169062395261</v>
      </c>
      <c r="I47" s="479"/>
      <c r="J47" s="480">
        <v>5.7036451351329766E-2</v>
      </c>
      <c r="K47" s="481">
        <v>6.9288625315652164E-2</v>
      </c>
      <c r="L47" s="481">
        <v>4.8820236674130865E-2</v>
      </c>
      <c r="M47" s="481">
        <v>6.2705117563161314E-2</v>
      </c>
      <c r="N47" s="481">
        <f>+VLOOKUP('Table B'!B47,TableC4d!B:P,10,0)</f>
        <v>6.2927193684744365E-2</v>
      </c>
      <c r="O47" s="482">
        <f t="shared" si="1"/>
        <v>5.8907423334145989E-3</v>
      </c>
    </row>
    <row r="48" spans="2:15" ht="33.5" x14ac:dyDescent="0.75">
      <c r="B48" s="477" t="s">
        <v>76</v>
      </c>
      <c r="C48" s="478">
        <v>3.8269074924636528</v>
      </c>
      <c r="D48" s="478">
        <v>4.0246001063345211</v>
      </c>
      <c r="E48" s="478">
        <v>5.0403092492108073</v>
      </c>
      <c r="F48" s="478">
        <v>6.7595844814691661</v>
      </c>
      <c r="G48" s="478">
        <f>+VLOOKUP(B48,TableC4!B:X,2,0)/1000</f>
        <v>7.917354736510867</v>
      </c>
      <c r="H48" s="479">
        <f>+G48-D48</f>
        <v>3.8927546301763458</v>
      </c>
      <c r="I48" s="479"/>
      <c r="J48" s="480">
        <v>5.7036451351329766E-2</v>
      </c>
      <c r="K48" s="481">
        <v>6.9288625315652164E-2</v>
      </c>
      <c r="L48" s="481">
        <v>7.5515786324574147E-2</v>
      </c>
      <c r="M48" s="481">
        <v>0.10227173352876283</v>
      </c>
      <c r="N48" s="481">
        <f>+VLOOKUP('Table B'!B48,TableC4d!B:P,10,0)</f>
        <v>0.13153414178601369</v>
      </c>
      <c r="O48" s="482">
        <f t="shared" si="1"/>
        <v>7.4497690434683933E-2</v>
      </c>
    </row>
    <row r="49" spans="2:15" ht="33.5" x14ac:dyDescent="0.75">
      <c r="B49" s="477" t="s">
        <v>267</v>
      </c>
      <c r="C49" s="541"/>
      <c r="D49" s="537">
        <v>4.7138668993359119</v>
      </c>
      <c r="E49" s="537">
        <v>6.4109092825838001</v>
      </c>
      <c r="F49" s="537">
        <v>8.932603885297425</v>
      </c>
      <c r="G49" s="478">
        <f>+VLOOKUP(B49,TableC4!B:X,2,0)/1000</f>
        <v>10.989429638627405</v>
      </c>
      <c r="H49" s="479">
        <f t="shared" si="0"/>
        <v>6.2755627392914928</v>
      </c>
      <c r="I49" s="481"/>
      <c r="J49" s="480"/>
      <c r="K49" s="481">
        <f>+VLOOKUP(B49,[4]TableC4d!B:P,10,0)</f>
        <v>5.4628617471686403E-2</v>
      </c>
      <c r="L49" s="481">
        <v>7.4295502678128802E-2</v>
      </c>
      <c r="M49" s="481">
        <v>8.3299565208812321E-2</v>
      </c>
      <c r="N49" s="481">
        <f>+VLOOKUP('Table B'!B49,TableC4d!B:P,10,0)</f>
        <v>9.3033941276598642E-2</v>
      </c>
      <c r="O49" s="482"/>
    </row>
    <row r="50" spans="2:15" ht="33.5" x14ac:dyDescent="0.75">
      <c r="B50" s="477" t="s">
        <v>277</v>
      </c>
      <c r="C50" s="541"/>
      <c r="D50" s="537">
        <v>0.99864652590911351</v>
      </c>
      <c r="E50" s="537">
        <v>0.92038365061890415</v>
      </c>
      <c r="F50" s="537">
        <v>1.4574461120011153</v>
      </c>
      <c r="G50" s="478">
        <f>+VLOOKUP(B50,TableC4!B:X,2,0)/1000</f>
        <v>1.7215122027295298</v>
      </c>
      <c r="H50" s="479">
        <f t="shared" si="0"/>
        <v>0.72286567682041625</v>
      </c>
      <c r="I50" s="481"/>
      <c r="J50" s="480"/>
      <c r="K50" s="481">
        <f>+VLOOKUP(B50,[4]TableC4d!B:P,10,0)</f>
        <v>0.15775883221374162</v>
      </c>
      <c r="L50" s="481">
        <v>0.14539543886970191</v>
      </c>
      <c r="M50" s="481">
        <v>0.22498535217894447</v>
      </c>
      <c r="N50" s="481">
        <f>+VLOOKUP('Table B'!B50,TableC4d!B:P,10,0)</f>
        <v>0.26128649526902981</v>
      </c>
      <c r="O50" s="482"/>
    </row>
    <row r="51" spans="2:15" ht="33.5" x14ac:dyDescent="0.75">
      <c r="B51" s="524" t="s">
        <v>280</v>
      </c>
      <c r="C51" s="525"/>
      <c r="D51" s="533">
        <v>0.86853229889627548</v>
      </c>
      <c r="E51" s="533">
        <v>0.85443130810770185</v>
      </c>
      <c r="F51" s="533">
        <v>0.92384376637388443</v>
      </c>
      <c r="G51" s="533">
        <f>+VLOOKUP(B51,TableC4!B:X,2,0)/1000</f>
        <v>1.1171867006285463</v>
      </c>
      <c r="H51" s="488">
        <f t="shared" si="0"/>
        <v>0.24865440173227082</v>
      </c>
      <c r="I51" s="526"/>
      <c r="J51" s="534"/>
      <c r="K51" s="526">
        <f>+VLOOKUP(B51,[4]TableC4d!B:P,10,0)</f>
        <v>0.15477261957535013</v>
      </c>
      <c r="L51" s="526">
        <v>0.15225982035564478</v>
      </c>
      <c r="M51" s="526">
        <v>0.16462913351840691</v>
      </c>
      <c r="N51" s="526">
        <f>+VLOOKUP('Table B'!B51,TableC4d!B:P,10,0)</f>
        <v>0.19908288089084908</v>
      </c>
      <c r="O51" s="542"/>
    </row>
    <row r="52" spans="2:15" ht="39" customHeight="1" x14ac:dyDescent="0.75">
      <c r="B52" s="489" t="s">
        <v>430</v>
      </c>
      <c r="D52" s="538"/>
      <c r="E52" s="538"/>
      <c r="F52" s="538"/>
      <c r="G52" s="489"/>
      <c r="H52" s="479"/>
      <c r="I52" s="489"/>
      <c r="J52" s="489"/>
      <c r="K52" s="538"/>
      <c r="L52" s="538"/>
      <c r="M52" s="538"/>
      <c r="N52" s="489"/>
      <c r="O52" s="482"/>
    </row>
    <row r="53" spans="2:15" ht="33.5" x14ac:dyDescent="0.75">
      <c r="B53" s="477" t="str">
        <f>[3]TableA1!$A12</f>
        <v>Belgium</v>
      </c>
      <c r="C53" s="478">
        <v>-13.106870602869716</v>
      </c>
      <c r="D53" s="537">
        <v>-15.192705534701314</v>
      </c>
      <c r="E53" s="537">
        <v>-20.479377251676514</v>
      </c>
      <c r="F53" s="537">
        <v>-45.682721095351404</v>
      </c>
      <c r="G53" s="478">
        <f>-VLOOKUP(B53,'Table U1'!B:AD,29,0)</f>
        <v>-37.791677057477301</v>
      </c>
      <c r="H53" s="479">
        <f t="shared" si="0"/>
        <v>-22.598971522775987</v>
      </c>
      <c r="I53" s="479"/>
      <c r="J53" s="480">
        <v>0.15960156624970104</v>
      </c>
      <c r="K53" s="481">
        <v>0.15982348373090668</v>
      </c>
      <c r="L53" s="481">
        <v>0.19445774402687543</v>
      </c>
      <c r="M53" s="481">
        <v>0.54570568460035995</v>
      </c>
      <c r="N53" s="544">
        <f>+VLOOKUP(B53,[5]Winners!$B:$C,2,0)</f>
        <v>0.38099988981652727</v>
      </c>
      <c r="O53" s="482">
        <f t="shared" ref="O53:O58" si="2">+N53-K53</f>
        <v>0.22117640608562059</v>
      </c>
    </row>
    <row r="54" spans="2:15" ht="33.5" x14ac:dyDescent="0.75">
      <c r="B54" s="477" t="str">
        <f>[3]TableA1!$A24</f>
        <v>Ireland</v>
      </c>
      <c r="C54" s="478">
        <v>-106.3289638729139</v>
      </c>
      <c r="D54" s="537">
        <v>-117.10866791238698</v>
      </c>
      <c r="E54" s="537">
        <v>-126.22930473650742</v>
      </c>
      <c r="F54" s="537">
        <v>-126.35089343657603</v>
      </c>
      <c r="G54" s="478">
        <f>-VLOOKUP(B54,'Table U1'!B:AD,29,0)</f>
        <v>-129.63720392653448</v>
      </c>
      <c r="H54" s="479">
        <f t="shared" si="0"/>
        <v>-12.528536014147505</v>
      </c>
      <c r="I54" s="479"/>
      <c r="J54" s="480">
        <v>0.57743248093138921</v>
      </c>
      <c r="K54" s="481">
        <v>0.65241785852860124</v>
      </c>
      <c r="L54" s="481">
        <v>0.67058288355333406</v>
      </c>
      <c r="M54" s="481">
        <v>0.60747856505324593</v>
      </c>
      <c r="N54" s="544">
        <f>+VLOOKUP(B54,[5]Winners!$B:$C,2,0)</f>
        <v>0.58715851999286683</v>
      </c>
      <c r="O54" s="482">
        <f t="shared" si="2"/>
        <v>-6.5259338535734401E-2</v>
      </c>
    </row>
    <row r="55" spans="2:15" ht="33.5" x14ac:dyDescent="0.75">
      <c r="B55" s="477" t="str">
        <f>[3]TableA1!$A30</f>
        <v>Luxembourg</v>
      </c>
      <c r="C55" s="478">
        <v>-46.799572185855702</v>
      </c>
      <c r="D55" s="537">
        <v>-50.117882746865448</v>
      </c>
      <c r="E55" s="537">
        <v>-66.046640961219012</v>
      </c>
      <c r="F55" s="537">
        <v>-56.739639855707097</v>
      </c>
      <c r="G55" s="478">
        <f>-VLOOKUP(B55,'Table U1'!B:AD,29,0)</f>
        <v>-64.368989030930351</v>
      </c>
      <c r="H55" s="479">
        <f t="shared" si="0"/>
        <v>-14.251106284064903</v>
      </c>
      <c r="I55" s="479"/>
      <c r="J55" s="480">
        <v>0.50414994247910705</v>
      </c>
      <c r="K55" s="481">
        <v>0.54442721446050479</v>
      </c>
      <c r="L55" s="481">
        <v>0.58366520009359735</v>
      </c>
      <c r="M55" s="481">
        <v>0.48629563642650425</v>
      </c>
      <c r="N55" s="544">
        <f>+VLOOKUP(B55,[5]Winners!$B:$C,2,0)</f>
        <v>0.56467834815512141</v>
      </c>
      <c r="O55" s="482">
        <f t="shared" si="2"/>
        <v>2.0251133694616619E-2</v>
      </c>
    </row>
    <row r="56" spans="2:15" ht="33.5" x14ac:dyDescent="0.75">
      <c r="B56" s="477" t="s">
        <v>109</v>
      </c>
      <c r="C56" s="478">
        <v>-12.327426958163089</v>
      </c>
      <c r="D56" s="537">
        <v>-10.806938685798682</v>
      </c>
      <c r="E56" s="537">
        <v>-11.134471187055922</v>
      </c>
      <c r="F56" s="537">
        <v>-12.429663563214918</v>
      </c>
      <c r="G56" s="478">
        <f>-VLOOKUP(B56,'Table U1'!B:AD,29,0)</f>
        <v>-10.190285119350621</v>
      </c>
      <c r="H56" s="479">
        <f t="shared" si="0"/>
        <v>0.61665356644806124</v>
      </c>
      <c r="I56" s="479"/>
      <c r="J56" s="480">
        <v>0.90334015105889631</v>
      </c>
      <c r="K56" s="481">
        <v>0.88451333344260097</v>
      </c>
      <c r="L56" s="481">
        <v>0.88338002380381042</v>
      </c>
      <c r="M56" s="481">
        <v>0.36203304107732881</v>
      </c>
      <c r="N56" s="544">
        <f>+VLOOKUP(B56,[5]Winners!$B:$C,2,0)</f>
        <v>0.2895980121960548</v>
      </c>
      <c r="O56" s="482">
        <f t="shared" si="2"/>
        <v>-0.59491532124654611</v>
      </c>
    </row>
    <row r="57" spans="2:15" ht="33.5" x14ac:dyDescent="0.75">
      <c r="B57" s="477" t="str">
        <f>[3]TableA1!$A32</f>
        <v>Netherlands</v>
      </c>
      <c r="C57" s="478">
        <v>-57.353364287520073</v>
      </c>
      <c r="D57" s="537">
        <v>-90.260495714647661</v>
      </c>
      <c r="E57" s="537">
        <v>-79.347163635666789</v>
      </c>
      <c r="F57" s="537">
        <v>-105.87643766221456</v>
      </c>
      <c r="G57" s="478">
        <f>-VLOOKUP(B57,'Table U1'!B:AD,29,0)</f>
        <v>-110.92945067541058</v>
      </c>
      <c r="H57" s="479">
        <f t="shared" si="0"/>
        <v>-20.668954960762917</v>
      </c>
      <c r="I57" s="479"/>
      <c r="J57" s="480">
        <v>0.3179544298480857</v>
      </c>
      <c r="K57" s="481">
        <v>0.29776033797420337</v>
      </c>
      <c r="L57" s="481">
        <v>0.38504967140640162</v>
      </c>
      <c r="M57" s="481">
        <v>0.27844061130636544</v>
      </c>
      <c r="N57" s="544">
        <f>+VLOOKUP(B57,[5]Winners!$B:$C,2,0)</f>
        <v>0.1936603197743251</v>
      </c>
      <c r="O57" s="482">
        <f t="shared" si="2"/>
        <v>-0.10410001819987827</v>
      </c>
    </row>
    <row r="58" spans="2:15" ht="33.5" x14ac:dyDescent="0.75">
      <c r="B58" s="477" t="s">
        <v>351</v>
      </c>
      <c r="C58" s="478">
        <v>-96.73216830648569</v>
      </c>
      <c r="D58" s="537">
        <v>-92.831696200459518</v>
      </c>
      <c r="E58" s="537">
        <v>-94.970829790556067</v>
      </c>
      <c r="F58" s="537">
        <v>-110.02878774772149</v>
      </c>
      <c r="G58" s="478">
        <f>-('Table U1'!AD54+'Table U1'!AD55+'Table U1'!AD56+'Table U1'!AD57+'Table U1'!AD59+'Table U1'!AD60+'Table U1'!AD62+'Table U1'!AD63+'Table U1'!AD64+'Table U1'!AD65+'Table U1'!AD68+'Table U1'!AD77+'Table U1'!AD83+'Table U1'!AD84)</f>
        <v>-159.21674364819725</v>
      </c>
      <c r="H58" s="479">
        <f t="shared" si="0"/>
        <v>-66.385047447737733</v>
      </c>
      <c r="I58" s="479"/>
      <c r="J58" s="480">
        <v>1</v>
      </c>
      <c r="K58" s="539">
        <v>1</v>
      </c>
      <c r="L58" s="539">
        <v>1</v>
      </c>
      <c r="M58" s="539">
        <v>1</v>
      </c>
      <c r="N58" s="480">
        <v>1</v>
      </c>
      <c r="O58" s="482">
        <f t="shared" si="2"/>
        <v>0</v>
      </c>
    </row>
    <row r="59" spans="2:15" ht="33.5" x14ac:dyDescent="0.75">
      <c r="B59" s="477" t="s">
        <v>88</v>
      </c>
      <c r="C59" s="478">
        <v>-23.950680817428665</v>
      </c>
      <c r="D59" s="537">
        <v>-17.258353679835029</v>
      </c>
      <c r="E59" s="537">
        <v>-12.771565610104329</v>
      </c>
      <c r="F59" s="537">
        <v>-84.366812420237594</v>
      </c>
      <c r="G59" s="478">
        <f>-VLOOKUP(B59,'Table U1'!B:AD,29,0)</f>
        <v>-58.45898700470449</v>
      </c>
      <c r="H59" s="479">
        <f t="shared" si="0"/>
        <v>-41.200633324869457</v>
      </c>
      <c r="I59" s="479"/>
      <c r="J59" s="480"/>
      <c r="K59" s="481"/>
      <c r="L59" s="481"/>
      <c r="M59" s="481"/>
      <c r="N59" s="544"/>
      <c r="O59" s="482"/>
    </row>
    <row r="60" spans="2:15" ht="33.5" x14ac:dyDescent="0.75">
      <c r="B60" s="477" t="s">
        <v>116</v>
      </c>
      <c r="C60" s="478">
        <v>-70.416271670151048</v>
      </c>
      <c r="D60" s="537">
        <v>-77.589599684007553</v>
      </c>
      <c r="E60" s="537">
        <v>-97.969159320480998</v>
      </c>
      <c r="F60" s="537">
        <v>-132.31317880061394</v>
      </c>
      <c r="G60" s="478">
        <f>-VLOOKUP(B60,'Table U1'!B:AD,29,0)</f>
        <v>-132.31317880061394</v>
      </c>
      <c r="H60" s="479">
        <f t="shared" si="0"/>
        <v>-54.723579116606388</v>
      </c>
      <c r="I60" s="479"/>
      <c r="J60" s="480">
        <v>0.40851319960697152</v>
      </c>
      <c r="K60" s="481">
        <v>0.42316017465274142</v>
      </c>
      <c r="L60" s="481">
        <v>0.29863635783858017</v>
      </c>
      <c r="M60" s="481">
        <v>0.36605622226648715</v>
      </c>
      <c r="N60" s="544">
        <f>+VLOOKUP(B60,[5]Winners!$B:$C,2,0)</f>
        <v>0.29050537256504005</v>
      </c>
      <c r="O60" s="482">
        <f>+N60-K60</f>
        <v>-0.13265480208770136</v>
      </c>
    </row>
    <row r="61" spans="2:15" ht="33.5" x14ac:dyDescent="0.75">
      <c r="B61" s="477" t="s">
        <v>122</v>
      </c>
      <c r="C61" s="478">
        <v>-41.683062581236264</v>
      </c>
      <c r="D61" s="537">
        <v>-38.320224000000003</v>
      </c>
      <c r="E61" s="537">
        <v>-38.320224000000003</v>
      </c>
      <c r="F61" s="537">
        <v>-36.364773497619588</v>
      </c>
      <c r="G61" s="478">
        <f>-VLOOKUP(B61,'Table U1'!B:AD,29,0)</f>
        <v>-31.860287999999997</v>
      </c>
      <c r="H61" s="479">
        <f t="shared" si="0"/>
        <v>6.4599360000000061</v>
      </c>
      <c r="I61" s="479"/>
      <c r="J61" s="480">
        <v>0.78997808122227953</v>
      </c>
      <c r="K61" s="481">
        <v>0.24833101987659711</v>
      </c>
      <c r="L61" s="481">
        <v>0.35389958884254258</v>
      </c>
      <c r="M61" s="481">
        <v>0.72389352679814134</v>
      </c>
      <c r="N61" s="544">
        <f>+VLOOKUP(B61,[5]Winners!$B:$C,2,0)</f>
        <v>0.29648825031955883</v>
      </c>
      <c r="O61" s="482">
        <f>+N61-K61</f>
        <v>4.8157230442961718E-2</v>
      </c>
    </row>
    <row r="62" spans="2:15" ht="33.5" x14ac:dyDescent="0.75">
      <c r="B62" s="477" t="s">
        <v>328</v>
      </c>
      <c r="C62" s="478">
        <v>-39.035168909870336</v>
      </c>
      <c r="D62" s="537">
        <v>-18.192616409335663</v>
      </c>
      <c r="E62" s="537">
        <v>-18.293182977898841</v>
      </c>
      <c r="F62" s="537">
        <v>-42.854588539678375</v>
      </c>
      <c r="G62" s="478">
        <f>-VLOOKUP(B62,'Table U1'!B:AD,29,0)</f>
        <v>-62.408223491229137</v>
      </c>
      <c r="H62" s="479">
        <f t="shared" si="0"/>
        <v>-44.215607081893474</v>
      </c>
      <c r="I62" s="479"/>
      <c r="J62" s="480">
        <v>0.33038854240582904</v>
      </c>
      <c r="K62" s="481">
        <v>0.23991171942754524</v>
      </c>
      <c r="L62" s="481">
        <v>0.23991171942754527</v>
      </c>
      <c r="M62" s="481">
        <v>0.56203002147497949</v>
      </c>
      <c r="N62" s="544">
        <f>+VLOOKUP(B62,[5]Winners!$B:$C,2,0)</f>
        <v>0.40479447021325571</v>
      </c>
      <c r="O62" s="482">
        <f>+N62-K62</f>
        <v>0.16488275078571046</v>
      </c>
    </row>
    <row r="63" spans="2:15" ht="33.5" x14ac:dyDescent="0.75">
      <c r="B63" s="477" t="s">
        <v>63</v>
      </c>
      <c r="C63" s="478">
        <v>-58.152724672949248</v>
      </c>
      <c r="D63" s="537">
        <v>-73.171682606348682</v>
      </c>
      <c r="E63" s="537">
        <v>-97.986624525658129</v>
      </c>
      <c r="F63" s="537">
        <v>-102.30096823782171</v>
      </c>
      <c r="G63" s="478">
        <f>-VLOOKUP(B63,'Table U1'!B:AD,29,0)</f>
        <v>-111.87421101719627</v>
      </c>
      <c r="H63" s="479">
        <f t="shared" si="0"/>
        <v>-38.702528410847592</v>
      </c>
      <c r="I63" s="479"/>
      <c r="J63" s="480">
        <v>0.20104419648279911</v>
      </c>
      <c r="K63" s="481">
        <v>0.27874646527161934</v>
      </c>
      <c r="L63" s="481">
        <v>0.37762441871839869</v>
      </c>
      <c r="M63" s="481">
        <v>0.38685934106244052</v>
      </c>
      <c r="N63" s="544">
        <f>+VLOOKUP(B63,[5]Winners!$B:$C,2,0)</f>
        <v>0.39353907427626916</v>
      </c>
      <c r="O63" s="482">
        <f>+N63-K63</f>
        <v>0.11479260900464983</v>
      </c>
    </row>
    <row r="64" spans="2:15" ht="34" thickBot="1" x14ac:dyDescent="0.8">
      <c r="B64" s="485" t="s">
        <v>364</v>
      </c>
      <c r="C64" s="486">
        <v>-50.575354983473517</v>
      </c>
      <c r="D64" s="486">
        <v>-66.031169106786706</v>
      </c>
      <c r="E64" s="486">
        <v>-77.790497891359905</v>
      </c>
      <c r="F64" s="486">
        <v>-90.897942769131191</v>
      </c>
      <c r="G64" s="486">
        <f>-('Alternative Table 1'!G5+SUM(G53:G63))</f>
        <v>-60.16950283443407</v>
      </c>
      <c r="H64" s="486">
        <f t="shared" si="0"/>
        <v>5.861666272352636</v>
      </c>
      <c r="I64" s="486"/>
      <c r="J64" s="486"/>
      <c r="K64" s="486"/>
      <c r="L64" s="486"/>
      <c r="M64" s="486"/>
      <c r="N64" s="486"/>
      <c r="O64" s="543"/>
    </row>
    <row r="65" ht="16" thickTop="1" x14ac:dyDescent="0.35"/>
  </sheetData>
  <mergeCells count="2">
    <mergeCell ref="B4:O4"/>
    <mergeCell ref="B2:O2"/>
  </mergeCells>
  <printOptions horizontalCentered="1"/>
  <pageMargins left="0.25" right="0.25" top="0.75" bottom="0.75" header="0.3" footer="0.3"/>
  <pageSetup scale="26"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89999084444715716"/>
  </sheetPr>
  <dimension ref="B4:C5"/>
  <sheetViews>
    <sheetView workbookViewId="0">
      <selection activeCell="G18" sqref="G18"/>
    </sheetView>
  </sheetViews>
  <sheetFormatPr defaultColWidth="8.81640625" defaultRowHeight="15.5" x14ac:dyDescent="0.35"/>
  <cols>
    <col min="2" max="2" width="46.36328125" bestFit="1" customWidth="1"/>
  </cols>
  <sheetData>
    <row r="4" spans="2:3" x14ac:dyDescent="0.35">
      <c r="B4" s="446"/>
    </row>
    <row r="5" spans="2:3" x14ac:dyDescent="0.35">
      <c r="B5" s="47"/>
      <c r="C5" s="4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A4809FDBAC454BBC138C3007036432" ma:contentTypeVersion="14" ma:contentTypeDescription="Create a new document." ma:contentTypeScope="" ma:versionID="bb366b52eb2153b82caf195c428fe2d8">
  <xsd:schema xmlns:xsd="http://www.w3.org/2001/XMLSchema" xmlns:xs="http://www.w3.org/2001/XMLSchema" xmlns:p="http://schemas.microsoft.com/office/2006/metadata/properties" xmlns:ns2="dc70817d-d51c-4ca9-ae12-277f06ead8c0" xmlns:ns3="429001a2-6006-4d0b-bb36-bc8f5928d8f8" targetNamespace="http://schemas.microsoft.com/office/2006/metadata/properties" ma:root="true" ma:fieldsID="f7e5b84f4516469ad8dddeb5bc641d65" ns2:_="" ns3:_="">
    <xsd:import namespace="dc70817d-d51c-4ca9-ae12-277f06ead8c0"/>
    <xsd:import namespace="429001a2-6006-4d0b-bb36-bc8f5928d8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70817d-d51c-4ca9-ae12-277f06ead8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708e94d-1d5b-4a24-abc9-0fd97dbe82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001a2-6006-4d0b-bb36-bc8f5928d8f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23011b4-e369-4d2c-a295-9467ddd199e6}" ma:internalName="TaxCatchAll" ma:showField="CatchAllData" ma:web="429001a2-6006-4d0b-bb36-bc8f5928d8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AA2CC3-09C6-4780-BB36-63B2A2288A7E}"/>
</file>

<file path=customXml/itemProps2.xml><?xml version="1.0" encoding="utf-8"?>
<ds:datastoreItem xmlns:ds="http://schemas.openxmlformats.org/officeDocument/2006/customXml" ds:itemID="{F5D61030-8C77-4C9C-B40A-090FABC6C8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Charts</vt:lpstr>
      </vt:variant>
      <vt:variant>
        <vt:i4>7</vt:i4>
      </vt:variant>
    </vt:vector>
  </HeadingPairs>
  <TitlesOfParts>
    <vt:vector size="30" baseType="lpstr">
      <vt:lpstr>Content</vt:lpstr>
      <vt:lpstr>Table1</vt:lpstr>
      <vt:lpstr>DataF1-3</vt:lpstr>
      <vt:lpstr>DataF2</vt:lpstr>
      <vt:lpstr>Data F3</vt:lpstr>
      <vt:lpstr>Data F4</vt:lpstr>
      <vt:lpstr>Table A</vt:lpstr>
      <vt:lpstr>Table B</vt:lpstr>
      <vt:lpstr>Backup tables and figures</vt:lpstr>
      <vt:lpstr>Table U1</vt:lpstr>
      <vt:lpstr>Alternative Table 1</vt:lpstr>
      <vt:lpstr>Data FA1</vt:lpstr>
      <vt:lpstr>Select updated tables from TWZ&gt;</vt:lpstr>
      <vt:lpstr>TableB10</vt:lpstr>
      <vt:lpstr>TableB11</vt:lpstr>
      <vt:lpstr>TableC1</vt:lpstr>
      <vt:lpstr>TableC2</vt:lpstr>
      <vt:lpstr>TableC3</vt:lpstr>
      <vt:lpstr>TableC4</vt:lpstr>
      <vt:lpstr>TableC4b</vt:lpstr>
      <vt:lpstr>TableC4c</vt:lpstr>
      <vt:lpstr>TableC4d</vt:lpstr>
      <vt:lpstr>Depreciation</vt:lpstr>
      <vt:lpstr>F1a</vt:lpstr>
      <vt:lpstr>F1b</vt:lpstr>
      <vt:lpstr>F1c</vt:lpstr>
      <vt:lpstr>F2</vt:lpstr>
      <vt:lpstr>F3 </vt:lpstr>
      <vt:lpstr>F4</vt:lpstr>
      <vt:lpstr>Appendix F1</vt:lpstr>
    </vt:vector>
  </TitlesOfParts>
  <Company>SAMF-IT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Ludvig S C Petersen Wier</dc:creator>
  <cp:lastModifiedBy>Ludvig Wier</cp:lastModifiedBy>
  <cp:lastPrinted>2022-09-28T10:42:13Z</cp:lastPrinted>
  <dcterms:created xsi:type="dcterms:W3CDTF">2019-06-07T08:42:44Z</dcterms:created>
  <dcterms:modified xsi:type="dcterms:W3CDTF">2022-09-28T14:42:20Z</dcterms:modified>
</cp:coreProperties>
</file>